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B3F\Desktop\歷年報廢清冊及公文備份\"/>
    </mc:Choice>
  </mc:AlternateContent>
  <bookViews>
    <workbookView xWindow="0" yWindow="0" windowWidth="19200" windowHeight="6990" activeTab="1"/>
  </bookViews>
  <sheets>
    <sheet name="西文1193" sheetId="3" r:id="rId1"/>
    <sheet name="_usr_local_claridy_inspire_cata" sheetId="1" r:id="rId2"/>
  </sheets>
  <definedNames>
    <definedName name="_xlnm._FilterDatabase" localSheetId="1" hidden="1">_usr_local_claridy_inspire_cata!$A$11:$AW$11</definedName>
    <definedName name="_xlnm._FilterDatabase" localSheetId="0" hidden="1">西文1193!$A$1:$J$1</definedName>
    <definedName name="_xlnm.Print_Titles" localSheetId="0">西文1193!$1:$1</definedName>
  </definedNames>
  <calcPr calcId="162913"/>
</workbook>
</file>

<file path=xl/calcChain.xml><?xml version="1.0" encoding="utf-8"?>
<calcChain xmlns="http://schemas.openxmlformats.org/spreadsheetml/2006/main">
  <c r="E785" i="3" l="1"/>
  <c r="E802" i="3"/>
  <c r="E700" i="3"/>
  <c r="E720" i="3"/>
  <c r="E279" i="3"/>
  <c r="E745" i="3"/>
  <c r="E963" i="3"/>
  <c r="E857" i="3"/>
  <c r="E1042" i="3"/>
  <c r="E933" i="3"/>
  <c r="E1164" i="3"/>
  <c r="E727" i="3"/>
  <c r="E807" i="3"/>
  <c r="E966" i="3"/>
  <c r="E1131" i="3"/>
  <c r="E1129" i="3"/>
  <c r="E1133" i="3"/>
  <c r="E1122" i="3"/>
  <c r="E30" i="3"/>
  <c r="E931" i="3"/>
  <c r="E954" i="3"/>
  <c r="E918" i="3"/>
  <c r="E725" i="3"/>
  <c r="E1160" i="3"/>
  <c r="E838" i="3"/>
  <c r="E713" i="3"/>
  <c r="E1046" i="3"/>
  <c r="E1043" i="3"/>
  <c r="E1062" i="3"/>
  <c r="E1054" i="3"/>
  <c r="E847" i="3"/>
  <c r="E710" i="3"/>
  <c r="E840" i="3"/>
  <c r="E924" i="3"/>
  <c r="E805" i="3"/>
  <c r="E767" i="3"/>
  <c r="E871" i="3"/>
  <c r="E1084" i="3"/>
  <c r="E699" i="3"/>
  <c r="E691" i="3"/>
  <c r="E754" i="3"/>
  <c r="E929" i="3"/>
  <c r="E1035" i="3"/>
  <c r="E746" i="3"/>
  <c r="E550" i="3"/>
  <c r="E212" i="3"/>
  <c r="E1061" i="3"/>
  <c r="E6" i="3"/>
  <c r="E267" i="3"/>
  <c r="E180" i="3"/>
  <c r="E626" i="3"/>
  <c r="E217" i="3"/>
  <c r="E157" i="3"/>
  <c r="E179" i="3"/>
  <c r="E229" i="3"/>
  <c r="E38" i="3"/>
  <c r="E220" i="3"/>
  <c r="E149" i="3"/>
  <c r="E625" i="3"/>
  <c r="E86" i="3"/>
  <c r="E325" i="3"/>
  <c r="E130" i="3"/>
  <c r="E105" i="3"/>
  <c r="E131" i="3"/>
  <c r="E377" i="3"/>
  <c r="E976" i="3"/>
  <c r="E216" i="3"/>
  <c r="E496" i="3"/>
  <c r="E327" i="3"/>
  <c r="E276" i="3"/>
  <c r="E192" i="3"/>
  <c r="E1045" i="3"/>
  <c r="E234" i="3"/>
  <c r="E591" i="3"/>
  <c r="E967" i="3"/>
  <c r="E488" i="3"/>
  <c r="E382" i="3"/>
  <c r="E122" i="3"/>
  <c r="E132" i="3"/>
  <c r="E201" i="3"/>
  <c r="E499" i="3"/>
  <c r="E534" i="3"/>
  <c r="E190" i="3"/>
  <c r="E269" i="3"/>
  <c r="E592" i="3"/>
  <c r="E280" i="3"/>
  <c r="E189" i="3"/>
  <c r="E563" i="3"/>
  <c r="E191" i="3"/>
  <c r="E570" i="3"/>
  <c r="E381" i="3"/>
  <c r="E407" i="3"/>
  <c r="E542" i="3"/>
  <c r="E99" i="3"/>
  <c r="E301" i="3"/>
  <c r="E160" i="3"/>
  <c r="E373" i="3"/>
  <c r="E314" i="3"/>
  <c r="E970" i="3"/>
  <c r="E15" i="3"/>
  <c r="E605" i="3"/>
  <c r="E95" i="3"/>
  <c r="E412" i="3"/>
  <c r="E278" i="3"/>
  <c r="E480" i="3"/>
  <c r="E207" i="3"/>
  <c r="E135" i="3"/>
  <c r="E321" i="3"/>
  <c r="E312" i="3"/>
  <c r="E608" i="3"/>
  <c r="E102" i="3"/>
  <c r="E151" i="3"/>
  <c r="E567" i="3"/>
  <c r="E158" i="3"/>
  <c r="E70" i="3"/>
  <c r="E110" i="3"/>
  <c r="E121" i="3"/>
  <c r="E252" i="3"/>
  <c r="E528" i="3"/>
  <c r="E681" i="3"/>
  <c r="E540" i="3"/>
  <c r="E309" i="3"/>
  <c r="E330" i="3"/>
  <c r="E355" i="3"/>
  <c r="E257" i="3"/>
  <c r="E512" i="3"/>
  <c r="E127" i="3"/>
  <c r="E197" i="3"/>
  <c r="E261" i="3"/>
  <c r="E438" i="3"/>
  <c r="E281" i="3"/>
  <c r="E417" i="3"/>
  <c r="E536" i="3"/>
  <c r="E96" i="3"/>
  <c r="E195" i="3"/>
  <c r="E282" i="3"/>
  <c r="E522" i="3"/>
  <c r="E323" i="3"/>
  <c r="E442" i="3"/>
  <c r="E439" i="3"/>
  <c r="E621" i="3"/>
  <c r="E209" i="3"/>
  <c r="E436" i="3"/>
  <c r="E418" i="3"/>
  <c r="E397" i="3"/>
  <c r="E513" i="3"/>
  <c r="E114" i="3"/>
  <c r="E262" i="3"/>
  <c r="E532" i="3"/>
  <c r="E215" i="3"/>
  <c r="E290" i="3"/>
  <c r="E390" i="3"/>
  <c r="E63" i="3"/>
  <c r="E83" i="3"/>
  <c r="E619" i="3"/>
  <c r="E380" i="3"/>
  <c r="E581" i="3"/>
  <c r="E408" i="3"/>
  <c r="E590" i="3"/>
  <c r="E415" i="3"/>
  <c r="E501" i="3"/>
  <c r="E331" i="3"/>
  <c r="E1047" i="3"/>
  <c r="E485" i="3"/>
  <c r="E264" i="3"/>
  <c r="E188" i="3"/>
  <c r="E1041" i="3"/>
  <c r="E241" i="3"/>
  <c r="E398" i="3"/>
  <c r="E652" i="3"/>
  <c r="E34" i="3"/>
  <c r="E477" i="3"/>
  <c r="E129" i="3"/>
  <c r="E543" i="3"/>
  <c r="E470" i="3"/>
  <c r="E16" i="3"/>
  <c r="E1136" i="3"/>
  <c r="E968" i="3"/>
  <c r="E20" i="3"/>
  <c r="E177" i="3"/>
  <c r="E128" i="3"/>
  <c r="E483" i="3"/>
  <c r="E476" i="3"/>
  <c r="E225" i="3"/>
  <c r="E475" i="3"/>
  <c r="E3" i="3"/>
  <c r="E531" i="3"/>
  <c r="E642" i="3"/>
  <c r="E1174" i="3"/>
  <c r="E101" i="3"/>
  <c r="E153" i="3"/>
  <c r="E214" i="3"/>
  <c r="E435" i="3"/>
  <c r="E107" i="3"/>
  <c r="E93" i="3"/>
  <c r="E272" i="3"/>
  <c r="E125" i="3"/>
  <c r="E332" i="3"/>
  <c r="E530" i="3"/>
  <c r="E79" i="3"/>
  <c r="E571" i="3"/>
  <c r="E552" i="3"/>
  <c r="E576" i="3"/>
  <c r="E537" i="3"/>
  <c r="E505" i="3"/>
  <c r="E283" i="3"/>
  <c r="E154" i="3"/>
  <c r="E286" i="3"/>
  <c r="E538" i="3"/>
  <c r="E84" i="3"/>
  <c r="E579" i="3"/>
  <c r="E275" i="3"/>
  <c r="E143" i="3"/>
  <c r="E206" i="3"/>
  <c r="E258" i="3"/>
  <c r="E548" i="3"/>
  <c r="E549" i="3"/>
  <c r="E299" i="3"/>
  <c r="E481" i="3"/>
  <c r="E259" i="3"/>
  <c r="E347" i="3"/>
  <c r="E492" i="3"/>
  <c r="E544" i="3"/>
  <c r="E459" i="3"/>
  <c r="E444" i="3"/>
  <c r="E620" i="3"/>
  <c r="E359" i="3"/>
  <c r="E211" i="3"/>
  <c r="E162" i="3"/>
  <c r="E1015" i="3"/>
  <c r="E1117" i="3"/>
  <c r="E781" i="3"/>
  <c r="E853" i="3"/>
  <c r="E972" i="3"/>
  <c r="E939" i="3"/>
  <c r="E1036" i="3"/>
  <c r="E708" i="3"/>
  <c r="E486" i="3"/>
  <c r="E656" i="3"/>
  <c r="E634" i="3"/>
  <c r="E671" i="3"/>
  <c r="E670" i="3"/>
  <c r="E665" i="3"/>
  <c r="E655" i="3"/>
  <c r="E793" i="3"/>
  <c r="E1029" i="3"/>
  <c r="E1162" i="3"/>
  <c r="E490" i="3"/>
  <c r="E861" i="3"/>
  <c r="E654" i="3"/>
  <c r="E646" i="3"/>
  <c r="E1028" i="3"/>
  <c r="E649" i="3"/>
  <c r="E648" i="3"/>
  <c r="E1025" i="3"/>
  <c r="E647" i="3"/>
  <c r="E1026" i="3"/>
  <c r="E1024" i="3"/>
  <c r="E1027" i="3"/>
  <c r="E291" i="3"/>
  <c r="E653" i="3"/>
  <c r="E508" i="3"/>
  <c r="E185" i="3"/>
  <c r="E668" i="3"/>
  <c r="E657" i="3"/>
  <c r="E677" i="3"/>
  <c r="E678" i="3"/>
  <c r="E675" i="3"/>
  <c r="E669" i="3"/>
  <c r="E676" i="3"/>
  <c r="E465" i="3"/>
  <c r="E136" i="3"/>
  <c r="E497" i="3"/>
  <c r="E969" i="3"/>
  <c r="E479" i="3"/>
  <c r="E123" i="3"/>
  <c r="E32" i="3"/>
  <c r="E910" i="3"/>
  <c r="E1052" i="3"/>
  <c r="E1037" i="3"/>
  <c r="E792" i="3"/>
  <c r="E948" i="3"/>
  <c r="E421" i="3"/>
  <c r="E1161" i="3"/>
  <c r="E1172" i="3"/>
  <c r="E1123" i="3"/>
  <c r="E1078" i="3"/>
  <c r="E800" i="3"/>
  <c r="E770" i="3"/>
  <c r="E768" i="3"/>
  <c r="E885" i="3"/>
  <c r="E889" i="3"/>
  <c r="E1104" i="3"/>
  <c r="E741" i="3"/>
  <c r="E769" i="3"/>
  <c r="E873" i="3"/>
  <c r="E1163" i="3"/>
  <c r="E361" i="3"/>
  <c r="E1144" i="3"/>
  <c r="E932" i="3"/>
  <c r="E1146" i="3"/>
  <c r="E856" i="3"/>
  <c r="E804" i="3"/>
  <c r="E919" i="3"/>
  <c r="E1092" i="3"/>
  <c r="E846" i="3"/>
  <c r="E1135" i="3"/>
  <c r="E749" i="3"/>
  <c r="E956" i="3"/>
  <c r="E402" i="3"/>
  <c r="E1143" i="3"/>
  <c r="E1107" i="3"/>
  <c r="E791" i="3"/>
  <c r="E717" i="3"/>
  <c r="E881" i="3"/>
  <c r="E882" i="3"/>
  <c r="E1114" i="3"/>
  <c r="E816" i="3"/>
  <c r="E888" i="3"/>
  <c r="E1105" i="3"/>
  <c r="E814" i="3"/>
  <c r="E734" i="3"/>
  <c r="E1166" i="3"/>
  <c r="E1125" i="3"/>
  <c r="E815" i="3"/>
  <c r="E952" i="3"/>
  <c r="E289" i="3"/>
  <c r="E891" i="3"/>
  <c r="E1145" i="3"/>
  <c r="E797" i="3"/>
  <c r="E854" i="3"/>
  <c r="E1139" i="3"/>
  <c r="E1087" i="3"/>
  <c r="E843" i="3"/>
  <c r="E923" i="3"/>
  <c r="E813" i="3"/>
  <c r="E786" i="3"/>
  <c r="E855" i="3"/>
  <c r="E1065" i="3"/>
  <c r="E829" i="3"/>
  <c r="E1138" i="3"/>
  <c r="E1080" i="3"/>
  <c r="E1099" i="3"/>
  <c r="E902" i="3"/>
  <c r="E950" i="3"/>
  <c r="E1082" i="3"/>
  <c r="E742" i="3"/>
  <c r="E830" i="3"/>
  <c r="E784" i="3"/>
  <c r="E844" i="3"/>
  <c r="E1119" i="3"/>
  <c r="E1132" i="3"/>
  <c r="E801" i="3"/>
  <c r="E1121" i="3"/>
  <c r="E729" i="3"/>
  <c r="E867" i="3"/>
  <c r="E934" i="3"/>
  <c r="E907" i="3"/>
  <c r="E1067" i="3"/>
  <c r="E1088" i="3"/>
  <c r="E1151" i="3"/>
  <c r="E1034" i="3"/>
  <c r="E414" i="3"/>
  <c r="E1056" i="3"/>
  <c r="E1038" i="3"/>
  <c r="E776" i="3"/>
  <c r="E900" i="3"/>
  <c r="E1089" i="3"/>
  <c r="E1066" i="3"/>
  <c r="E1030" i="3"/>
  <c r="E946" i="3"/>
  <c r="E765" i="3"/>
  <c r="E803" i="3"/>
  <c r="E1093" i="3"/>
  <c r="E868" i="3"/>
  <c r="E903" i="3"/>
  <c r="E835" i="3"/>
  <c r="E392" i="3"/>
  <c r="E1147" i="3"/>
  <c r="E869" i="3"/>
  <c r="E1102" i="3"/>
  <c r="E400" i="3"/>
  <c r="E927" i="3"/>
  <c r="E811" i="3"/>
  <c r="E863" i="3"/>
  <c r="E930" i="3"/>
  <c r="E1032" i="3"/>
  <c r="E714" i="3"/>
  <c r="E643" i="3"/>
  <c r="E926" i="3"/>
  <c r="E905" i="3"/>
  <c r="E965" i="3"/>
  <c r="E890" i="3"/>
  <c r="E529" i="3"/>
  <c r="E808" i="3"/>
  <c r="E482" i="3"/>
  <c r="E862" i="3"/>
  <c r="E928" i="3"/>
  <c r="E1071" i="3"/>
  <c r="E29" i="3"/>
  <c r="E824" i="3"/>
  <c r="E788" i="3"/>
  <c r="E789" i="3"/>
  <c r="E1100" i="3"/>
  <c r="E795" i="3"/>
  <c r="E780" i="3"/>
  <c r="E752" i="3"/>
  <c r="E819" i="3"/>
  <c r="E395" i="3"/>
  <c r="E751" i="3"/>
  <c r="E702" i="3"/>
  <c r="E743" i="3"/>
  <c r="E834" i="3"/>
  <c r="E775" i="3"/>
  <c r="E701" i="3"/>
  <c r="E796" i="3"/>
  <c r="E773" i="3"/>
  <c r="E369" i="3"/>
  <c r="E839" i="3"/>
  <c r="E1116" i="3"/>
  <c r="E1109" i="3"/>
  <c r="E1127" i="3"/>
  <c r="E755" i="3"/>
  <c r="E821" i="3"/>
  <c r="E763" i="3"/>
  <c r="E1130" i="3"/>
  <c r="E31" i="3"/>
  <c r="E406" i="3"/>
  <c r="E726" i="3"/>
  <c r="E884" i="3"/>
  <c r="E913" i="3"/>
  <c r="E1055" i="3"/>
  <c r="E1033" i="3"/>
  <c r="E1124" i="3"/>
  <c r="E1057" i="3"/>
  <c r="E812" i="3"/>
  <c r="E106" i="3"/>
  <c r="E1058" i="3"/>
  <c r="E831" i="3"/>
  <c r="E388" i="3"/>
  <c r="E766" i="3"/>
  <c r="E758" i="3"/>
  <c r="E866" i="3"/>
  <c r="E268" i="3"/>
  <c r="E911" i="3"/>
  <c r="E736" i="3"/>
  <c r="E817" i="3"/>
  <c r="E1085" i="3"/>
  <c r="E898" i="3"/>
  <c r="E1142" i="3"/>
  <c r="E1149" i="3"/>
  <c r="E894" i="3"/>
  <c r="E895" i="3"/>
  <c r="E1091" i="3"/>
  <c r="E738" i="3"/>
  <c r="E1148" i="3"/>
  <c r="E951" i="3"/>
  <c r="E1039" i="3"/>
  <c r="E818" i="3"/>
  <c r="E733" i="3"/>
  <c r="E1077" i="3"/>
  <c r="E1074" i="3"/>
  <c r="E1188" i="3"/>
  <c r="E739" i="3"/>
  <c r="E1150" i="3"/>
  <c r="E1079" i="3"/>
  <c r="E384" i="3"/>
  <c r="E1141" i="3"/>
  <c r="E1167" i="3"/>
  <c r="E1090" i="3"/>
  <c r="E887" i="3"/>
  <c r="E719" i="3"/>
  <c r="E1170" i="3"/>
  <c r="E845" i="3"/>
  <c r="E865" i="3"/>
  <c r="E864" i="3"/>
  <c r="E880" i="3"/>
  <c r="E912" i="3"/>
  <c r="E876" i="3"/>
  <c r="E1101" i="3"/>
  <c r="E41" i="3"/>
  <c r="E1075" i="3"/>
  <c r="E1153" i="3"/>
  <c r="E1096" i="3"/>
  <c r="E870" i="3"/>
  <c r="E1110" i="3"/>
  <c r="E685" i="3"/>
  <c r="E852" i="3"/>
  <c r="E872" i="3"/>
  <c r="E722" i="3"/>
  <c r="E904" i="3"/>
  <c r="E764" i="3"/>
  <c r="E1111" i="3"/>
  <c r="E1068" i="3"/>
  <c r="E849" i="3"/>
  <c r="E645" i="3"/>
  <c r="E858" i="3"/>
  <c r="E1134" i="3"/>
  <c r="E915" i="3"/>
  <c r="E827" i="3"/>
  <c r="E762" i="3"/>
  <c r="E851" i="3"/>
  <c r="E836" i="3"/>
  <c r="E828" i="3"/>
  <c r="E1113" i="3"/>
  <c r="E777" i="3"/>
  <c r="E944" i="3"/>
  <c r="E823" i="3"/>
  <c r="E1126" i="3"/>
  <c r="E787" i="3"/>
  <c r="E921" i="3"/>
  <c r="E774" i="3"/>
  <c r="E778" i="3"/>
  <c r="E1083" i="3"/>
  <c r="E728" i="3"/>
  <c r="E879" i="3"/>
  <c r="E1069" i="3"/>
  <c r="E945" i="3"/>
  <c r="E783" i="3"/>
  <c r="E826" i="3"/>
  <c r="E779" i="3"/>
  <c r="E1095" i="3"/>
  <c r="E943" i="3"/>
  <c r="E850" i="3"/>
  <c r="E938" i="3"/>
  <c r="E1159" i="3"/>
  <c r="E908" i="3"/>
  <c r="E922" i="3"/>
  <c r="E925" i="3"/>
  <c r="E1158" i="3"/>
  <c r="E1140" i="3"/>
  <c r="E1086" i="3"/>
  <c r="E1059" i="3"/>
  <c r="E747" i="3"/>
  <c r="E1060" i="3"/>
  <c r="E909" i="3"/>
  <c r="E721" i="3"/>
  <c r="E1073" i="3"/>
  <c r="E841" i="3"/>
  <c r="E1072" i="3"/>
  <c r="E1115" i="3"/>
  <c r="E706" i="3"/>
  <c r="E832" i="3"/>
  <c r="E368" i="3"/>
  <c r="E759" i="3"/>
  <c r="E761" i="3"/>
  <c r="E860" i="3"/>
  <c r="E750" i="3"/>
  <c r="E790" i="3"/>
  <c r="E1168" i="3"/>
  <c r="E906" i="3"/>
  <c r="E712" i="3"/>
  <c r="E744" i="3"/>
  <c r="E1070" i="3"/>
  <c r="E735" i="3"/>
  <c r="E1103" i="3"/>
  <c r="E772" i="3"/>
  <c r="E757" i="3"/>
  <c r="E723" i="3"/>
  <c r="E715" i="3"/>
  <c r="E916" i="3"/>
  <c r="E1169" i="3"/>
  <c r="E833" i="3"/>
  <c r="E410" i="3"/>
  <c r="E901" i="3"/>
  <c r="E771" i="3"/>
  <c r="E732" i="3"/>
  <c r="E941" i="3"/>
  <c r="E1157" i="3"/>
  <c r="E716" i="3"/>
  <c r="E820" i="3"/>
  <c r="E825" i="3"/>
  <c r="E731" i="3"/>
  <c r="E1108" i="3"/>
  <c r="E1097" i="3"/>
  <c r="E949" i="3"/>
  <c r="E1128" i="3"/>
  <c r="E955" i="3"/>
  <c r="E718" i="3"/>
  <c r="E1031" i="3"/>
  <c r="E1094" i="3"/>
  <c r="E883" i="3"/>
  <c r="E1081" i="3"/>
  <c r="E917" i="3"/>
  <c r="E1137" i="3"/>
  <c r="E822" i="3"/>
  <c r="E419" i="3"/>
  <c r="E953" i="3"/>
  <c r="E837" i="3"/>
  <c r="E920" i="3"/>
  <c r="E1118" i="3"/>
  <c r="E940" i="3"/>
  <c r="E711" i="3"/>
  <c r="E740" i="3"/>
  <c r="E936" i="3"/>
  <c r="E935" i="3"/>
  <c r="E878" i="3"/>
  <c r="E403" i="3"/>
  <c r="E794" i="3"/>
  <c r="E705" i="3"/>
  <c r="E806" i="3"/>
  <c r="E1098" i="3"/>
  <c r="E1155" i="3"/>
  <c r="E877" i="3"/>
  <c r="E886" i="3"/>
  <c r="E937" i="3"/>
  <c r="E874" i="3"/>
  <c r="E914" i="3"/>
  <c r="E848" i="3"/>
  <c r="E748" i="3"/>
  <c r="E899" i="3"/>
  <c r="E1152" i="3"/>
  <c r="E1154" i="3"/>
  <c r="E420" i="3"/>
  <c r="E709" i="3"/>
  <c r="E1120" i="3"/>
  <c r="E1064" i="3"/>
  <c r="E707" i="3"/>
  <c r="E704" i="3"/>
  <c r="E859" i="3"/>
  <c r="E753" i="3"/>
  <c r="E947" i="3"/>
  <c r="E1112" i="3"/>
  <c r="E1076" i="3"/>
  <c r="E273" i="3"/>
  <c r="E391" i="3"/>
  <c r="E737" i="3"/>
  <c r="E1156" i="3"/>
  <c r="E798" i="3"/>
  <c r="E782" i="3"/>
  <c r="E756" i="3"/>
  <c r="E809" i="3"/>
  <c r="E399" i="3"/>
  <c r="E942" i="3"/>
  <c r="E810" i="3"/>
  <c r="E703" i="3"/>
  <c r="E1106" i="3"/>
  <c r="E760" i="3"/>
  <c r="E842" i="3"/>
  <c r="E724" i="3"/>
  <c r="E875" i="3"/>
  <c r="E1063" i="3"/>
  <c r="E404" i="3"/>
  <c r="E799" i="3"/>
  <c r="E730" i="3"/>
  <c r="E478" i="3"/>
  <c r="E525" i="3"/>
  <c r="E466" i="3"/>
  <c r="E401" i="3"/>
  <c r="E295" i="3"/>
  <c r="E693" i="3"/>
  <c r="E152" i="3"/>
  <c r="E463" i="3"/>
  <c r="E409" i="3"/>
  <c r="E66" i="3"/>
  <c r="E71" i="3"/>
  <c r="E526" i="3"/>
  <c r="E379" i="3"/>
  <c r="E578" i="3"/>
  <c r="E489" i="3"/>
  <c r="E520" i="3"/>
  <c r="E337" i="3"/>
  <c r="E140" i="3"/>
  <c r="E292" i="3"/>
  <c r="E145" i="3"/>
  <c r="E228" i="3"/>
  <c r="E345" i="3"/>
  <c r="E62" i="3"/>
  <c r="E1179" i="3"/>
  <c r="E91" i="3"/>
  <c r="E467" i="3"/>
  <c r="E462" i="3"/>
  <c r="E242" i="3"/>
  <c r="E336" i="3"/>
  <c r="E52" i="3"/>
  <c r="E250" i="3"/>
  <c r="E507" i="3"/>
  <c r="E2" i="3"/>
  <c r="E1185" i="3"/>
  <c r="E1184" i="3"/>
  <c r="E1183" i="3"/>
  <c r="E659" i="3"/>
  <c r="E673" i="3"/>
  <c r="E663" i="3"/>
  <c r="E1187" i="3"/>
  <c r="E661" i="3"/>
  <c r="E662" i="3"/>
  <c r="E664" i="3"/>
  <c r="E674" i="3"/>
  <c r="E456" i="3"/>
  <c r="E658" i="3"/>
  <c r="E672" i="3"/>
  <c r="E660" i="3"/>
  <c r="E452" i="3"/>
  <c r="E1186" i="3"/>
  <c r="E378" i="3"/>
  <c r="E892" i="3"/>
  <c r="E561" i="3"/>
  <c r="E457" i="3"/>
  <c r="E666" i="3"/>
  <c r="E667" i="3"/>
  <c r="E893" i="3"/>
  <c r="E519" i="3"/>
  <c r="E650" i="3"/>
  <c r="E42" i="3"/>
  <c r="E697" i="3"/>
  <c r="E698" i="3"/>
  <c r="E161" i="3"/>
  <c r="E352" i="3"/>
  <c r="E471" i="3"/>
  <c r="E146" i="3"/>
  <c r="E454" i="3"/>
  <c r="E1176" i="3"/>
  <c r="E1171" i="3"/>
  <c r="E509" i="3"/>
  <c r="E171" i="3"/>
  <c r="E695" i="3"/>
  <c r="E97" i="3"/>
  <c r="E348" i="3"/>
  <c r="E167" i="3"/>
  <c r="E341" i="3"/>
  <c r="E558" i="3"/>
  <c r="E426" i="3"/>
  <c r="E557" i="3"/>
  <c r="E696" i="3"/>
  <c r="E119" i="3"/>
  <c r="E521" i="3"/>
  <c r="E240" i="3"/>
  <c r="E511" i="3"/>
  <c r="E246" i="3"/>
  <c r="E694" i="3"/>
  <c r="E55" i="3"/>
  <c r="E165" i="3"/>
  <c r="E547" i="3"/>
  <c r="E472" i="3"/>
  <c r="E80" i="3"/>
  <c r="E23" i="3"/>
  <c r="E117" i="3"/>
  <c r="E274" i="3"/>
  <c r="E1049" i="3"/>
  <c r="E64" i="3"/>
  <c r="E493" i="3"/>
  <c r="E370" i="3"/>
  <c r="E523" i="3"/>
  <c r="E313" i="3"/>
  <c r="E584" i="3"/>
  <c r="E503" i="3"/>
  <c r="E61" i="3"/>
  <c r="E1190" i="3"/>
  <c r="E1192" i="3"/>
  <c r="E1191" i="3"/>
  <c r="E1193" i="3"/>
  <c r="E679" i="3"/>
  <c r="E58" i="3"/>
  <c r="E144" i="3"/>
  <c r="E515" i="3"/>
  <c r="E455" i="3"/>
  <c r="E1194" i="3"/>
  <c r="E524" i="3"/>
  <c r="E239" i="3"/>
  <c r="E692" i="3"/>
  <c r="E342" i="3"/>
  <c r="E326" i="3"/>
  <c r="E333" i="3"/>
  <c r="E445" i="3"/>
  <c r="E1044" i="3"/>
  <c r="E350" i="3"/>
  <c r="E60" i="3"/>
  <c r="E202" i="3"/>
  <c r="E285" i="3"/>
  <c r="E897" i="3"/>
  <c r="E376" i="3"/>
  <c r="E353" i="3"/>
  <c r="E124" i="3"/>
  <c r="E263" i="3"/>
  <c r="E164" i="3"/>
  <c r="E1013" i="3"/>
  <c r="E85" i="3"/>
  <c r="E437" i="3"/>
  <c r="E1165" i="3"/>
  <c r="E539" i="3"/>
  <c r="E328" i="3"/>
  <c r="E49" i="3"/>
  <c r="E256" i="3"/>
  <c r="E67" i="3"/>
  <c r="E170" i="3"/>
  <c r="E266" i="3"/>
  <c r="E104" i="3"/>
  <c r="E394" i="3"/>
  <c r="E572" i="3"/>
  <c r="E210" i="3"/>
  <c r="E441" i="3"/>
  <c r="E76" i="3"/>
  <c r="E316" i="3"/>
  <c r="E1173" i="3"/>
  <c r="E977" i="3"/>
  <c r="E317" i="3"/>
  <c r="E1008" i="3"/>
  <c r="E1012" i="3"/>
  <c r="E982" i="3"/>
  <c r="E594" i="3"/>
  <c r="E405" i="3"/>
  <c r="E422" i="3"/>
  <c r="E387" i="3"/>
  <c r="E601" i="3"/>
  <c r="E219" i="3"/>
  <c r="E236" i="3"/>
  <c r="E587" i="3"/>
  <c r="E98" i="3"/>
  <c r="E254" i="3"/>
  <c r="E560" i="3"/>
  <c r="E233" i="3"/>
  <c r="E249" i="3"/>
  <c r="E176" i="3"/>
  <c r="E589" i="3"/>
  <c r="E1177" i="3"/>
  <c r="E339" i="3"/>
  <c r="E306" i="3"/>
  <c r="E304" i="3"/>
  <c r="E302" i="3"/>
  <c r="E88" i="3"/>
  <c r="E443" i="3"/>
  <c r="E416" i="3"/>
  <c r="E318" i="3"/>
  <c r="E193" i="3"/>
  <c r="E307" i="3"/>
  <c r="E514" i="3"/>
  <c r="E434" i="3"/>
  <c r="E22" i="3"/>
  <c r="E468" i="3"/>
  <c r="E13" i="3"/>
  <c r="E506" i="3"/>
  <c r="E133" i="3"/>
  <c r="E213" i="3"/>
  <c r="E14" i="3"/>
  <c r="E383" i="3"/>
  <c r="E271" i="3"/>
  <c r="E251" i="3"/>
  <c r="E25" i="3"/>
  <c r="E174" i="3"/>
  <c r="E248" i="3"/>
  <c r="E21" i="3"/>
  <c r="E638" i="3"/>
  <c r="E432" i="3"/>
  <c r="E142" i="3"/>
  <c r="E495" i="3"/>
  <c r="E169" i="3"/>
  <c r="E173" i="3"/>
  <c r="E428" i="3"/>
  <c r="E303" i="3"/>
  <c r="E120" i="3"/>
  <c r="E689" i="3"/>
  <c r="E196" i="3"/>
  <c r="E385" i="3"/>
  <c r="E108" i="3"/>
  <c r="E429" i="3"/>
  <c r="E288" i="3"/>
  <c r="E277" i="3"/>
  <c r="E431" i="3"/>
  <c r="E504" i="3"/>
  <c r="E163" i="3"/>
  <c r="E247" i="3"/>
  <c r="E305" i="3"/>
  <c r="E684" i="3"/>
  <c r="E484" i="3"/>
  <c r="E103" i="3"/>
  <c r="E218" i="3"/>
  <c r="E126" i="3"/>
  <c r="E351" i="3"/>
  <c r="E147" i="3"/>
  <c r="E473" i="3"/>
  <c r="E1022" i="3"/>
  <c r="E1175" i="3"/>
  <c r="E461" i="3"/>
  <c r="E564" i="3"/>
  <c r="E686" i="3"/>
  <c r="E112" i="3"/>
  <c r="E593" i="3"/>
  <c r="E541" i="3"/>
  <c r="E535" i="3"/>
  <c r="E546" i="3"/>
  <c r="E633" i="3"/>
  <c r="E607" i="3"/>
  <c r="E474" i="3"/>
  <c r="E999" i="3"/>
  <c r="E367" i="3"/>
  <c r="E335" i="3"/>
  <c r="E287" i="3"/>
  <c r="E460" i="3"/>
  <c r="E582" i="3"/>
  <c r="E411" i="3"/>
  <c r="E235" i="3"/>
  <c r="E500" i="3"/>
  <c r="E315" i="3"/>
  <c r="E1016" i="3"/>
  <c r="E4" i="3"/>
  <c r="E1181" i="3"/>
  <c r="E640" i="3"/>
  <c r="E156" i="3"/>
  <c r="E624" i="3"/>
  <c r="E517" i="3"/>
  <c r="E72" i="3"/>
  <c r="E618" i="3"/>
  <c r="E75" i="3"/>
  <c r="E644" i="3"/>
  <c r="E995" i="3"/>
  <c r="E168" i="3"/>
  <c r="E73" i="3"/>
  <c r="E1180" i="3"/>
  <c r="E615" i="3"/>
  <c r="E17" i="3"/>
  <c r="E518" i="3"/>
  <c r="E1020" i="3"/>
  <c r="E992" i="3"/>
  <c r="E343" i="3"/>
  <c r="E221" i="3"/>
  <c r="E10" i="3"/>
  <c r="E363" i="3"/>
  <c r="E322" i="3"/>
  <c r="E957" i="3"/>
  <c r="E46" i="3"/>
  <c r="E487" i="3"/>
  <c r="E639" i="3"/>
  <c r="E980" i="3"/>
  <c r="E7" i="3"/>
  <c r="E24" i="3"/>
  <c r="E1004" i="3"/>
  <c r="E687" i="3"/>
  <c r="E1002" i="3"/>
  <c r="E990" i="3"/>
  <c r="E616" i="3"/>
  <c r="E44" i="3"/>
  <c r="E583" i="3"/>
  <c r="E595" i="3"/>
  <c r="E9" i="3"/>
  <c r="E597" i="3"/>
  <c r="E48" i="3"/>
  <c r="E630" i="3"/>
  <c r="E26" i="3"/>
  <c r="E232" i="3"/>
  <c r="E577" i="3"/>
  <c r="E989" i="3"/>
  <c r="E1009" i="3"/>
  <c r="E155" i="3"/>
  <c r="E427" i="3"/>
  <c r="E12" i="3"/>
  <c r="E265" i="3"/>
  <c r="E617" i="3"/>
  <c r="E1017" i="3"/>
  <c r="E237" i="3"/>
  <c r="E360" i="3"/>
  <c r="E182" i="3"/>
  <c r="E440" i="3"/>
  <c r="E224" i="3"/>
  <c r="E386" i="3"/>
  <c r="E362" i="3"/>
  <c r="E175" i="3"/>
  <c r="E159" i="3"/>
  <c r="E602" i="3"/>
  <c r="E358" i="3"/>
  <c r="E997" i="3"/>
  <c r="E469" i="3"/>
  <c r="E449" i="3"/>
  <c r="E297" i="3"/>
  <c r="E227" i="3"/>
  <c r="E604" i="3"/>
  <c r="E612" i="3"/>
  <c r="E87" i="3"/>
  <c r="E194" i="3"/>
  <c r="E54" i="3"/>
  <c r="E90" i="3"/>
  <c r="E430" i="3"/>
  <c r="E603" i="3"/>
  <c r="E413" i="3"/>
  <c r="E629" i="3"/>
  <c r="E609" i="3"/>
  <c r="E979" i="3"/>
  <c r="E203" i="3"/>
  <c r="E298" i="3"/>
  <c r="E45" i="3"/>
  <c r="E389" i="3"/>
  <c r="E611" i="3"/>
  <c r="E622" i="3"/>
  <c r="E448" i="3"/>
  <c r="E554" i="3"/>
  <c r="E113" i="3"/>
  <c r="E200" i="3"/>
  <c r="E238" i="3"/>
  <c r="E516" i="3"/>
  <c r="E451" i="3"/>
  <c r="E320" i="3"/>
  <c r="E183" i="3"/>
  <c r="E1003" i="3"/>
  <c r="E545" i="3"/>
  <c r="E329" i="3"/>
  <c r="E450" i="3"/>
  <c r="E556" i="3"/>
  <c r="E586" i="3"/>
  <c r="E346" i="3"/>
  <c r="E637" i="3"/>
  <c r="E74" i="3"/>
  <c r="E37" i="3"/>
  <c r="E636" i="3"/>
  <c r="E36" i="3"/>
  <c r="E27" i="3"/>
  <c r="E28" i="3"/>
  <c r="E632" i="3"/>
  <c r="E631" i="3"/>
  <c r="E973" i="3"/>
  <c r="E641" i="3"/>
  <c r="E115" i="3"/>
  <c r="E580" i="3"/>
  <c r="E1021" i="3"/>
  <c r="E458" i="3"/>
  <c r="E134" i="3"/>
  <c r="E600" i="3"/>
  <c r="E996" i="3"/>
  <c r="E222" i="3"/>
  <c r="E65" i="3"/>
  <c r="E109" i="3"/>
  <c r="E1023" i="3"/>
  <c r="E651" i="3"/>
  <c r="E423" i="3"/>
  <c r="E172" i="3"/>
  <c r="E575" i="3"/>
  <c r="E1053" i="3"/>
  <c r="E255" i="3"/>
  <c r="E635" i="3"/>
  <c r="E18" i="3"/>
  <c r="E19" i="3"/>
  <c r="E356" i="3"/>
  <c r="E683" i="3"/>
  <c r="E555" i="3"/>
  <c r="E433" i="3"/>
  <c r="E1189" i="3"/>
  <c r="E1178" i="3"/>
  <c r="E986" i="3"/>
  <c r="E606" i="3"/>
  <c r="E5" i="3"/>
  <c r="E573" i="3"/>
  <c r="E680" i="3"/>
  <c r="E50" i="3"/>
  <c r="E551" i="3"/>
  <c r="E1051" i="3"/>
  <c r="E613" i="3"/>
  <c r="E987" i="3"/>
  <c r="E1000" i="3"/>
  <c r="E510" i="3"/>
  <c r="E464" i="3"/>
  <c r="E59" i="3"/>
  <c r="E962" i="3"/>
  <c r="E208" i="3"/>
  <c r="E243" i="3"/>
  <c r="E627" i="3"/>
  <c r="E993" i="3"/>
  <c r="E628" i="3"/>
  <c r="E596" i="3"/>
  <c r="E324" i="3"/>
  <c r="E310" i="3"/>
  <c r="E1010" i="3"/>
  <c r="E983" i="3"/>
  <c r="E1014" i="3"/>
  <c r="E1182" i="3"/>
  <c r="E688" i="3"/>
  <c r="E994" i="3"/>
  <c r="E1018" i="3"/>
  <c r="E961" i="3"/>
  <c r="E1019" i="3"/>
  <c r="E1001" i="3"/>
  <c r="E984" i="3"/>
  <c r="E988" i="3"/>
  <c r="E8" i="3"/>
  <c r="E598" i="3"/>
  <c r="E1006" i="3"/>
  <c r="E1005" i="3"/>
  <c r="E981" i="3"/>
  <c r="E974" i="3"/>
  <c r="E998" i="3"/>
  <c r="E610" i="3"/>
  <c r="E623" i="3"/>
  <c r="E958" i="3"/>
  <c r="E959" i="3"/>
  <c r="E43" i="3"/>
  <c r="E964" i="3"/>
  <c r="E150" i="3"/>
  <c r="E424" i="3"/>
  <c r="E139" i="3"/>
  <c r="E985" i="3"/>
  <c r="E118" i="3"/>
  <c r="E978" i="3"/>
  <c r="E975" i="3"/>
  <c r="E308" i="3"/>
  <c r="E92" i="3"/>
  <c r="E294" i="3"/>
  <c r="E293" i="3"/>
  <c r="E599" i="3"/>
  <c r="E253" i="3"/>
  <c r="E284" i="3"/>
  <c r="E371" i="3"/>
  <c r="E138" i="3"/>
  <c r="E366" i="3"/>
  <c r="E334" i="3"/>
  <c r="E357" i="3"/>
  <c r="E375" i="3"/>
  <c r="E588" i="3"/>
  <c r="E319" i="3"/>
  <c r="E1048" i="3"/>
  <c r="E311" i="3"/>
  <c r="E137" i="3"/>
  <c r="E198" i="3"/>
  <c r="E204" i="3"/>
  <c r="E338" i="3"/>
  <c r="E372" i="3"/>
  <c r="E178" i="3"/>
  <c r="E199" i="3"/>
  <c r="E181" i="3"/>
  <c r="E960" i="3"/>
  <c r="E141" i="3"/>
  <c r="E11" i="3"/>
  <c r="E245" i="3"/>
  <c r="E991" i="3"/>
  <c r="E33" i="3"/>
  <c r="E94" i="3"/>
  <c r="E68" i="3"/>
  <c r="E374" i="3"/>
  <c r="E393" i="3"/>
  <c r="E148" i="3"/>
  <c r="E502" i="3"/>
  <c r="E494" i="3"/>
  <c r="E354" i="3"/>
  <c r="E498" i="3"/>
  <c r="E585" i="3"/>
  <c r="E1007" i="3"/>
  <c r="E344" i="3"/>
  <c r="E81" i="3"/>
  <c r="E491" i="3"/>
  <c r="E1011" i="3"/>
  <c r="E111" i="3"/>
  <c r="E340" i="3"/>
  <c r="E260" i="3"/>
  <c r="E566" i="3"/>
  <c r="E527" i="3"/>
  <c r="E533" i="3"/>
  <c r="E187" i="3"/>
  <c r="E39" i="3"/>
  <c r="E453" i="3"/>
  <c r="E56" i="3"/>
  <c r="E682" i="3"/>
  <c r="E569" i="3"/>
  <c r="E89" i="3"/>
  <c r="E349" i="3"/>
  <c r="E205" i="3"/>
  <c r="E559" i="3"/>
  <c r="E553" i="3"/>
  <c r="E69" i="3"/>
  <c r="E396" i="3"/>
  <c r="E57" i="3"/>
  <c r="E47" i="3"/>
  <c r="E614" i="3"/>
  <c r="E166" i="3"/>
  <c r="E1040" i="3"/>
  <c r="E364" i="3"/>
  <c r="E116" i="3"/>
  <c r="E425" i="3"/>
  <c r="E100" i="3"/>
  <c r="E446" i="3"/>
  <c r="E447" i="3"/>
  <c r="E184" i="3"/>
  <c r="E270" i="3"/>
  <c r="E365" i="3"/>
  <c r="E186" i="3"/>
  <c r="E574" i="3"/>
  <c r="E82" i="3"/>
  <c r="E896" i="3"/>
  <c r="E231" i="3"/>
  <c r="E35" i="3"/>
  <c r="E562" i="3"/>
  <c r="E244" i="3"/>
  <c r="E230" i="3"/>
  <c r="E51" i="3"/>
  <c r="E78" i="3"/>
  <c r="E77" i="3"/>
  <c r="E53" i="3"/>
  <c r="E296" i="3"/>
  <c r="E971" i="3"/>
  <c r="E690" i="3"/>
  <c r="E300" i="3"/>
  <c r="E226" i="3"/>
  <c r="E223" i="3"/>
  <c r="E1050" i="3"/>
  <c r="E568" i="3"/>
  <c r="E40" i="3"/>
  <c r="E565" i="3"/>
  <c r="D785" i="3"/>
  <c r="C785" i="3"/>
  <c r="B785" i="3"/>
  <c r="D802" i="3"/>
  <c r="C802" i="3"/>
  <c r="B802" i="3"/>
  <c r="I700" i="3"/>
  <c r="H700" i="3"/>
  <c r="G700" i="3"/>
  <c r="D700" i="3"/>
  <c r="C700" i="3"/>
  <c r="B700" i="3"/>
  <c r="D720" i="3"/>
  <c r="C720" i="3"/>
  <c r="B720" i="3"/>
  <c r="D279" i="3"/>
  <c r="C279" i="3"/>
  <c r="B279" i="3"/>
  <c r="D745" i="3"/>
  <c r="C745" i="3"/>
  <c r="B745" i="3"/>
  <c r="D963" i="3"/>
  <c r="C963" i="3"/>
  <c r="B963" i="3"/>
  <c r="D857" i="3"/>
  <c r="C857" i="3"/>
  <c r="B857" i="3"/>
  <c r="D1042" i="3"/>
  <c r="C1042" i="3"/>
  <c r="B1042" i="3"/>
  <c r="D933" i="3"/>
  <c r="C933" i="3"/>
  <c r="B933" i="3"/>
  <c r="I1164" i="3"/>
  <c r="H1164" i="3"/>
  <c r="G1164" i="3"/>
  <c r="D1164" i="3"/>
  <c r="C1164" i="3"/>
  <c r="B1164" i="3"/>
  <c r="I727" i="3"/>
  <c r="H727" i="3"/>
  <c r="G727" i="3"/>
  <c r="D727" i="3"/>
  <c r="C727" i="3"/>
  <c r="B727" i="3"/>
  <c r="D807" i="3"/>
  <c r="C807" i="3"/>
  <c r="B807" i="3"/>
  <c r="D966" i="3"/>
  <c r="C966" i="3"/>
  <c r="B966" i="3"/>
  <c r="D1131" i="3"/>
  <c r="C1131" i="3"/>
  <c r="B1131" i="3"/>
  <c r="D1129" i="3"/>
  <c r="C1129" i="3"/>
  <c r="B1129" i="3"/>
  <c r="D1133" i="3"/>
  <c r="C1133" i="3"/>
  <c r="B1133" i="3"/>
  <c r="D1122" i="3"/>
  <c r="C1122" i="3"/>
  <c r="B1122" i="3"/>
  <c r="D30" i="3"/>
  <c r="C30" i="3"/>
  <c r="B30" i="3"/>
  <c r="I931" i="3"/>
  <c r="H931" i="3"/>
  <c r="G931" i="3"/>
  <c r="D931" i="3"/>
  <c r="C931" i="3"/>
  <c r="B931" i="3"/>
  <c r="D954" i="3"/>
  <c r="C954" i="3"/>
  <c r="B954" i="3"/>
  <c r="J918" i="3"/>
  <c r="I918" i="3"/>
  <c r="H918" i="3"/>
  <c r="G918" i="3"/>
  <c r="D918" i="3"/>
  <c r="C918" i="3"/>
  <c r="B918" i="3"/>
  <c r="I725" i="3"/>
  <c r="H725" i="3"/>
  <c r="G725" i="3"/>
  <c r="D725" i="3"/>
  <c r="C725" i="3"/>
  <c r="B725" i="3"/>
  <c r="I1160" i="3"/>
  <c r="H1160" i="3"/>
  <c r="G1160" i="3"/>
  <c r="D1160" i="3"/>
  <c r="C1160" i="3"/>
  <c r="B1160" i="3"/>
  <c r="D838" i="3"/>
  <c r="C838" i="3"/>
  <c r="B838" i="3"/>
  <c r="D713" i="3"/>
  <c r="C713" i="3"/>
  <c r="B713" i="3"/>
  <c r="D1046" i="3"/>
  <c r="C1046" i="3"/>
  <c r="B1046" i="3"/>
  <c r="D1043" i="3"/>
  <c r="C1043" i="3"/>
  <c r="B1043" i="3"/>
  <c r="D1062" i="3"/>
  <c r="C1062" i="3"/>
  <c r="B1062" i="3"/>
  <c r="D1054" i="3"/>
  <c r="C1054" i="3"/>
  <c r="B1054" i="3"/>
  <c r="D847" i="3"/>
  <c r="C847" i="3"/>
  <c r="B847" i="3"/>
  <c r="D710" i="3"/>
  <c r="C710" i="3"/>
  <c r="B710" i="3"/>
  <c r="D840" i="3"/>
  <c r="C840" i="3"/>
  <c r="B840" i="3"/>
  <c r="F924" i="3"/>
  <c r="D924" i="3"/>
  <c r="C924" i="3"/>
  <c r="B924" i="3"/>
  <c r="D805" i="3"/>
  <c r="C805" i="3"/>
  <c r="B805" i="3"/>
  <c r="D767" i="3"/>
  <c r="C767" i="3"/>
  <c r="B767" i="3"/>
  <c r="I871" i="3"/>
  <c r="H871" i="3"/>
  <c r="G871" i="3"/>
  <c r="D871" i="3"/>
  <c r="C871" i="3"/>
  <c r="B871" i="3"/>
  <c r="D1084" i="3"/>
  <c r="C1084" i="3"/>
  <c r="B1084" i="3"/>
  <c r="I699" i="3"/>
  <c r="H699" i="3"/>
  <c r="G699" i="3"/>
  <c r="D699" i="3"/>
  <c r="C699" i="3"/>
  <c r="B699" i="3"/>
  <c r="D691" i="3"/>
  <c r="C691" i="3"/>
  <c r="B691" i="3"/>
  <c r="D754" i="3"/>
  <c r="C754" i="3"/>
  <c r="B754" i="3"/>
  <c r="D929" i="3"/>
  <c r="C929" i="3"/>
  <c r="B929" i="3"/>
  <c r="J1035" i="3"/>
  <c r="I1035" i="3"/>
  <c r="H1035" i="3"/>
  <c r="G1035" i="3"/>
  <c r="D1035" i="3"/>
  <c r="C1035" i="3"/>
  <c r="B1035" i="3"/>
  <c r="D746" i="3"/>
  <c r="C746" i="3"/>
  <c r="B746" i="3"/>
  <c r="D550" i="3"/>
  <c r="C550" i="3"/>
  <c r="B550" i="3"/>
  <c r="D212" i="3"/>
  <c r="C212" i="3"/>
  <c r="B212" i="3"/>
  <c r="D1061" i="3"/>
  <c r="C1061" i="3"/>
  <c r="B1061" i="3"/>
  <c r="D6" i="3"/>
  <c r="C6" i="3"/>
  <c r="B6" i="3"/>
  <c r="D267" i="3"/>
  <c r="C267" i="3"/>
  <c r="B267" i="3"/>
  <c r="D180" i="3"/>
  <c r="C180" i="3"/>
  <c r="B180" i="3"/>
  <c r="D626" i="3"/>
  <c r="C626" i="3"/>
  <c r="B626" i="3"/>
  <c r="D217" i="3"/>
  <c r="C217" i="3"/>
  <c r="B217" i="3"/>
  <c r="D157" i="3"/>
  <c r="C157" i="3"/>
  <c r="B157" i="3"/>
  <c r="D179" i="3"/>
  <c r="C179" i="3"/>
  <c r="B179" i="3"/>
  <c r="D229" i="3"/>
  <c r="C229" i="3"/>
  <c r="B229" i="3"/>
  <c r="D38" i="3"/>
  <c r="C38" i="3"/>
  <c r="B38" i="3"/>
  <c r="D220" i="3"/>
  <c r="C220" i="3"/>
  <c r="B220" i="3"/>
  <c r="D149" i="3"/>
  <c r="C149" i="3"/>
  <c r="B149" i="3"/>
  <c r="D625" i="3"/>
  <c r="C625" i="3"/>
  <c r="B625" i="3"/>
  <c r="D86" i="3"/>
  <c r="C86" i="3"/>
  <c r="B86" i="3"/>
  <c r="D325" i="3"/>
  <c r="C325" i="3"/>
  <c r="B325" i="3"/>
  <c r="D130" i="3"/>
  <c r="C130" i="3"/>
  <c r="B130" i="3"/>
  <c r="D105" i="3"/>
  <c r="C105" i="3"/>
  <c r="B105" i="3"/>
  <c r="D131" i="3"/>
  <c r="C131" i="3"/>
  <c r="B131" i="3"/>
  <c r="D377" i="3"/>
  <c r="C377" i="3"/>
  <c r="B377" i="3"/>
  <c r="D976" i="3"/>
  <c r="C976" i="3"/>
  <c r="B976" i="3"/>
  <c r="D216" i="3"/>
  <c r="C216" i="3"/>
  <c r="B216" i="3"/>
  <c r="D496" i="3"/>
  <c r="C496" i="3"/>
  <c r="B496" i="3"/>
  <c r="D327" i="3"/>
  <c r="C327" i="3"/>
  <c r="B327" i="3"/>
  <c r="D276" i="3"/>
  <c r="C276" i="3"/>
  <c r="B276" i="3"/>
  <c r="D192" i="3"/>
  <c r="C192" i="3"/>
  <c r="B192" i="3"/>
  <c r="D1045" i="3"/>
  <c r="C1045" i="3"/>
  <c r="B1045" i="3"/>
  <c r="D234" i="3"/>
  <c r="C234" i="3"/>
  <c r="B234" i="3"/>
  <c r="D591" i="3"/>
  <c r="C591" i="3"/>
  <c r="B591" i="3"/>
  <c r="D967" i="3"/>
  <c r="C967" i="3"/>
  <c r="B967" i="3"/>
  <c r="D488" i="3"/>
  <c r="C488" i="3"/>
  <c r="B488" i="3"/>
  <c r="D382" i="3"/>
  <c r="C382" i="3"/>
  <c r="B382" i="3"/>
  <c r="I122" i="3"/>
  <c r="H122" i="3"/>
  <c r="G122" i="3"/>
  <c r="D122" i="3"/>
  <c r="C122" i="3"/>
  <c r="B122" i="3"/>
  <c r="D132" i="3"/>
  <c r="C132" i="3"/>
  <c r="B132" i="3"/>
  <c r="D201" i="3"/>
  <c r="C201" i="3"/>
  <c r="B201" i="3"/>
  <c r="D499" i="3"/>
  <c r="C499" i="3"/>
  <c r="B499" i="3"/>
  <c r="D534" i="3"/>
  <c r="C534" i="3"/>
  <c r="B534" i="3"/>
  <c r="D190" i="3"/>
  <c r="C190" i="3"/>
  <c r="B190" i="3"/>
  <c r="D269" i="3"/>
  <c r="C269" i="3"/>
  <c r="B269" i="3"/>
  <c r="D592" i="3"/>
  <c r="C592" i="3"/>
  <c r="B592" i="3"/>
  <c r="D280" i="3"/>
  <c r="C280" i="3"/>
  <c r="B280" i="3"/>
  <c r="D189" i="3"/>
  <c r="C189" i="3"/>
  <c r="B189" i="3"/>
  <c r="I563" i="3"/>
  <c r="H563" i="3"/>
  <c r="G563" i="3"/>
  <c r="D563" i="3"/>
  <c r="C563" i="3"/>
  <c r="B563" i="3"/>
  <c r="D191" i="3"/>
  <c r="C191" i="3"/>
  <c r="B191" i="3"/>
  <c r="D570" i="3"/>
  <c r="C570" i="3"/>
  <c r="B570" i="3"/>
  <c r="D381" i="3"/>
  <c r="C381" i="3"/>
  <c r="B381" i="3"/>
  <c r="D407" i="3"/>
  <c r="C407" i="3"/>
  <c r="B407" i="3"/>
  <c r="D542" i="3"/>
  <c r="C542" i="3"/>
  <c r="B542" i="3"/>
  <c r="D99" i="3"/>
  <c r="C99" i="3"/>
  <c r="B99" i="3"/>
  <c r="D301" i="3"/>
  <c r="C301" i="3"/>
  <c r="B301" i="3"/>
  <c r="D160" i="3"/>
  <c r="C160" i="3"/>
  <c r="B160" i="3"/>
  <c r="D373" i="3"/>
  <c r="C373" i="3"/>
  <c r="B373" i="3"/>
  <c r="D314" i="3"/>
  <c r="C314" i="3"/>
  <c r="B314" i="3"/>
  <c r="D970" i="3"/>
  <c r="C970" i="3"/>
  <c r="B970" i="3"/>
  <c r="D15" i="3"/>
  <c r="C15" i="3"/>
  <c r="B15" i="3"/>
  <c r="I605" i="3"/>
  <c r="H605" i="3"/>
  <c r="G605" i="3"/>
  <c r="D605" i="3"/>
  <c r="C605" i="3"/>
  <c r="B605" i="3"/>
  <c r="D95" i="3"/>
  <c r="C95" i="3"/>
  <c r="B95" i="3"/>
  <c r="D412" i="3"/>
  <c r="C412" i="3"/>
  <c r="B412" i="3"/>
  <c r="I278" i="3"/>
  <c r="H278" i="3"/>
  <c r="G278" i="3"/>
  <c r="D278" i="3"/>
  <c r="C278" i="3"/>
  <c r="B278" i="3"/>
  <c r="D480" i="3"/>
  <c r="C480" i="3"/>
  <c r="B480" i="3"/>
  <c r="D207" i="3"/>
  <c r="C207" i="3"/>
  <c r="B207" i="3"/>
  <c r="D135" i="3"/>
  <c r="C135" i="3"/>
  <c r="B135" i="3"/>
  <c r="D321" i="3"/>
  <c r="C321" i="3"/>
  <c r="B321" i="3"/>
  <c r="D312" i="3"/>
  <c r="C312" i="3"/>
  <c r="B312" i="3"/>
  <c r="D608" i="3"/>
  <c r="C608" i="3"/>
  <c r="B608" i="3"/>
  <c r="D102" i="3"/>
  <c r="C102" i="3"/>
  <c r="B102" i="3"/>
  <c r="D151" i="3"/>
  <c r="C151" i="3"/>
  <c r="B151" i="3"/>
  <c r="D567" i="3"/>
  <c r="C567" i="3"/>
  <c r="B567" i="3"/>
  <c r="D158" i="3"/>
  <c r="C158" i="3"/>
  <c r="B158" i="3"/>
  <c r="D70" i="3"/>
  <c r="C70" i="3"/>
  <c r="B70" i="3"/>
  <c r="D110" i="3"/>
  <c r="C110" i="3"/>
  <c r="B110" i="3"/>
  <c r="D121" i="3"/>
  <c r="C121" i="3"/>
  <c r="B121" i="3"/>
  <c r="D252" i="3"/>
  <c r="C252" i="3"/>
  <c r="B252" i="3"/>
  <c r="D528" i="3"/>
  <c r="C528" i="3"/>
  <c r="B528" i="3"/>
  <c r="D681" i="3"/>
  <c r="C681" i="3"/>
  <c r="B681" i="3"/>
  <c r="D540" i="3"/>
  <c r="C540" i="3"/>
  <c r="B540" i="3"/>
  <c r="D309" i="3"/>
  <c r="C309" i="3"/>
  <c r="B309" i="3"/>
  <c r="D330" i="3"/>
  <c r="C330" i="3"/>
  <c r="B330" i="3"/>
  <c r="D355" i="3"/>
  <c r="C355" i="3"/>
  <c r="B355" i="3"/>
  <c r="D257" i="3"/>
  <c r="C257" i="3"/>
  <c r="B257" i="3"/>
  <c r="D512" i="3"/>
  <c r="C512" i="3"/>
  <c r="B512" i="3"/>
  <c r="D127" i="3"/>
  <c r="C127" i="3"/>
  <c r="B127" i="3"/>
  <c r="D197" i="3"/>
  <c r="C197" i="3"/>
  <c r="B197" i="3"/>
  <c r="D261" i="3"/>
  <c r="C261" i="3"/>
  <c r="B261" i="3"/>
  <c r="I438" i="3"/>
  <c r="H438" i="3"/>
  <c r="G438" i="3"/>
  <c r="D438" i="3"/>
  <c r="C438" i="3"/>
  <c r="B438" i="3"/>
  <c r="I281" i="3"/>
  <c r="H281" i="3"/>
  <c r="G281" i="3"/>
  <c r="D281" i="3"/>
  <c r="C281" i="3"/>
  <c r="B281" i="3"/>
  <c r="D417" i="3"/>
  <c r="C417" i="3"/>
  <c r="B417" i="3"/>
  <c r="D536" i="3"/>
  <c r="C536" i="3"/>
  <c r="B536" i="3"/>
  <c r="D96" i="3"/>
  <c r="C96" i="3"/>
  <c r="B96" i="3"/>
  <c r="D195" i="3"/>
  <c r="C195" i="3"/>
  <c r="B195" i="3"/>
  <c r="D282" i="3"/>
  <c r="C282" i="3"/>
  <c r="B282" i="3"/>
  <c r="D522" i="3"/>
  <c r="C522" i="3"/>
  <c r="B522" i="3"/>
  <c r="D323" i="3"/>
  <c r="C323" i="3"/>
  <c r="B323" i="3"/>
  <c r="D442" i="3"/>
  <c r="C442" i="3"/>
  <c r="B442" i="3"/>
  <c r="D439" i="3"/>
  <c r="C439" i="3"/>
  <c r="B439" i="3"/>
  <c r="D621" i="3"/>
  <c r="C621" i="3"/>
  <c r="B621" i="3"/>
  <c r="D209" i="3"/>
  <c r="C209" i="3"/>
  <c r="B209" i="3"/>
  <c r="D436" i="3"/>
  <c r="C436" i="3"/>
  <c r="B436" i="3"/>
  <c r="D418" i="3"/>
  <c r="C418" i="3"/>
  <c r="B418" i="3"/>
  <c r="D397" i="3"/>
  <c r="C397" i="3"/>
  <c r="B397" i="3"/>
  <c r="D513" i="3"/>
  <c r="C513" i="3"/>
  <c r="B513" i="3"/>
  <c r="D114" i="3"/>
  <c r="C114" i="3"/>
  <c r="B114" i="3"/>
  <c r="D262" i="3"/>
  <c r="C262" i="3"/>
  <c r="B262" i="3"/>
  <c r="D532" i="3"/>
  <c r="C532" i="3"/>
  <c r="B532" i="3"/>
  <c r="D215" i="3"/>
  <c r="C215" i="3"/>
  <c r="B215" i="3"/>
  <c r="D290" i="3"/>
  <c r="C290" i="3"/>
  <c r="B290" i="3"/>
  <c r="I390" i="3"/>
  <c r="H390" i="3"/>
  <c r="G390" i="3"/>
  <c r="D390" i="3"/>
  <c r="C390" i="3"/>
  <c r="B390" i="3"/>
  <c r="D63" i="3"/>
  <c r="C63" i="3"/>
  <c r="B63" i="3"/>
  <c r="D83" i="3"/>
  <c r="C83" i="3"/>
  <c r="B83" i="3"/>
  <c r="D619" i="3"/>
  <c r="C619" i="3"/>
  <c r="B619" i="3"/>
  <c r="D380" i="3"/>
  <c r="C380" i="3"/>
  <c r="B380" i="3"/>
  <c r="D581" i="3"/>
  <c r="C581" i="3"/>
  <c r="B581" i="3"/>
  <c r="D408" i="3"/>
  <c r="C408" i="3"/>
  <c r="B408" i="3"/>
  <c r="D590" i="3"/>
  <c r="C590" i="3"/>
  <c r="B590" i="3"/>
  <c r="D415" i="3"/>
  <c r="C415" i="3"/>
  <c r="B415" i="3"/>
  <c r="D501" i="3"/>
  <c r="C501" i="3"/>
  <c r="B501" i="3"/>
  <c r="I331" i="3"/>
  <c r="H331" i="3"/>
  <c r="G331" i="3"/>
  <c r="D331" i="3"/>
  <c r="C331" i="3"/>
  <c r="B331" i="3"/>
  <c r="D1047" i="3"/>
  <c r="C1047" i="3"/>
  <c r="B1047" i="3"/>
  <c r="D485" i="3"/>
  <c r="C485" i="3"/>
  <c r="B485" i="3"/>
  <c r="D264" i="3"/>
  <c r="C264" i="3"/>
  <c r="B264" i="3"/>
  <c r="D188" i="3"/>
  <c r="C188" i="3"/>
  <c r="B188" i="3"/>
  <c r="D1041" i="3"/>
  <c r="C1041" i="3"/>
  <c r="B1041" i="3"/>
  <c r="I241" i="3"/>
  <c r="H241" i="3"/>
  <c r="G241" i="3"/>
  <c r="D241" i="3"/>
  <c r="C241" i="3"/>
  <c r="B241" i="3"/>
  <c r="D398" i="3"/>
  <c r="C398" i="3"/>
  <c r="B398" i="3"/>
  <c r="D652" i="3"/>
  <c r="C652" i="3"/>
  <c r="B652" i="3"/>
  <c r="D34" i="3"/>
  <c r="C34" i="3"/>
  <c r="B34" i="3"/>
  <c r="D477" i="3"/>
  <c r="C477" i="3"/>
  <c r="B477" i="3"/>
  <c r="D129" i="3"/>
  <c r="C129" i="3"/>
  <c r="B129" i="3"/>
  <c r="D543" i="3"/>
  <c r="C543" i="3"/>
  <c r="B543" i="3"/>
  <c r="D470" i="3"/>
  <c r="C470" i="3"/>
  <c r="B470" i="3"/>
  <c r="D16" i="3"/>
  <c r="C16" i="3"/>
  <c r="B16" i="3"/>
  <c r="D1136" i="3"/>
  <c r="C1136" i="3"/>
  <c r="B1136" i="3"/>
  <c r="D968" i="3"/>
  <c r="C968" i="3"/>
  <c r="B968" i="3"/>
  <c r="D20" i="3"/>
  <c r="C20" i="3"/>
  <c r="B20" i="3"/>
  <c r="D177" i="3"/>
  <c r="C177" i="3"/>
  <c r="B177" i="3"/>
  <c r="D128" i="3"/>
  <c r="C128" i="3"/>
  <c r="B128" i="3"/>
  <c r="D483" i="3"/>
  <c r="C483" i="3"/>
  <c r="B483" i="3"/>
  <c r="D476" i="3"/>
  <c r="C476" i="3"/>
  <c r="B476" i="3"/>
  <c r="D225" i="3"/>
  <c r="C225" i="3"/>
  <c r="B225" i="3"/>
  <c r="D475" i="3"/>
  <c r="C475" i="3"/>
  <c r="B475" i="3"/>
  <c r="I3" i="3"/>
  <c r="H3" i="3"/>
  <c r="G3" i="3"/>
  <c r="D3" i="3"/>
  <c r="C3" i="3"/>
  <c r="B3" i="3"/>
  <c r="D531" i="3"/>
  <c r="C531" i="3"/>
  <c r="B531" i="3"/>
  <c r="D642" i="3"/>
  <c r="C642" i="3"/>
  <c r="B642" i="3"/>
  <c r="D1174" i="3"/>
  <c r="C1174" i="3"/>
  <c r="B1174" i="3"/>
  <c r="D101" i="3"/>
  <c r="C101" i="3"/>
  <c r="B101" i="3"/>
  <c r="D153" i="3"/>
  <c r="C153" i="3"/>
  <c r="B153" i="3"/>
  <c r="D214" i="3"/>
  <c r="C214" i="3"/>
  <c r="B214" i="3"/>
  <c r="D435" i="3"/>
  <c r="C435" i="3"/>
  <c r="B435" i="3"/>
  <c r="D107" i="3"/>
  <c r="C107" i="3"/>
  <c r="B107" i="3"/>
  <c r="D93" i="3"/>
  <c r="C93" i="3"/>
  <c r="B93" i="3"/>
  <c r="D272" i="3"/>
  <c r="C272" i="3"/>
  <c r="B272" i="3"/>
  <c r="D125" i="3"/>
  <c r="C125" i="3"/>
  <c r="B125" i="3"/>
  <c r="D332" i="3"/>
  <c r="C332" i="3"/>
  <c r="B332" i="3"/>
  <c r="D530" i="3"/>
  <c r="C530" i="3"/>
  <c r="B530" i="3"/>
  <c r="D79" i="3"/>
  <c r="C79" i="3"/>
  <c r="B79" i="3"/>
  <c r="I571" i="3"/>
  <c r="G571" i="3"/>
  <c r="D571" i="3"/>
  <c r="C571" i="3"/>
  <c r="B571" i="3"/>
  <c r="D552" i="3"/>
  <c r="C552" i="3"/>
  <c r="B552" i="3"/>
  <c r="D576" i="3"/>
  <c r="C576" i="3"/>
  <c r="B576" i="3"/>
  <c r="D537" i="3"/>
  <c r="C537" i="3"/>
  <c r="B537" i="3"/>
  <c r="D505" i="3"/>
  <c r="C505" i="3"/>
  <c r="B505" i="3"/>
  <c r="D283" i="3"/>
  <c r="C283" i="3"/>
  <c r="B283" i="3"/>
  <c r="D154" i="3"/>
  <c r="C154" i="3"/>
  <c r="B154" i="3"/>
  <c r="I286" i="3"/>
  <c r="H286" i="3"/>
  <c r="G286" i="3"/>
  <c r="D286" i="3"/>
  <c r="C286" i="3"/>
  <c r="B286" i="3"/>
  <c r="I538" i="3"/>
  <c r="H538" i="3"/>
  <c r="G538" i="3"/>
  <c r="D538" i="3"/>
  <c r="C538" i="3"/>
  <c r="B538" i="3"/>
  <c r="D84" i="3"/>
  <c r="C84" i="3"/>
  <c r="B84" i="3"/>
  <c r="D579" i="3"/>
  <c r="C579" i="3"/>
  <c r="B579" i="3"/>
  <c r="D275" i="3"/>
  <c r="C275" i="3"/>
  <c r="B275" i="3"/>
  <c r="D143" i="3"/>
  <c r="C143" i="3"/>
  <c r="B143" i="3"/>
  <c r="D206" i="3"/>
  <c r="C206" i="3"/>
  <c r="B206" i="3"/>
  <c r="D258" i="3"/>
  <c r="C258" i="3"/>
  <c r="B258" i="3"/>
  <c r="D548" i="3"/>
  <c r="C548" i="3"/>
  <c r="B548" i="3"/>
  <c r="D549" i="3"/>
  <c r="C549" i="3"/>
  <c r="B549" i="3"/>
  <c r="D299" i="3"/>
  <c r="C299" i="3"/>
  <c r="B299" i="3"/>
  <c r="I481" i="3"/>
  <c r="H481" i="3"/>
  <c r="G481" i="3"/>
  <c r="D481" i="3"/>
  <c r="C481" i="3"/>
  <c r="B481" i="3"/>
  <c r="D259" i="3"/>
  <c r="C259" i="3"/>
  <c r="B259" i="3"/>
  <c r="D347" i="3"/>
  <c r="C347" i="3"/>
  <c r="B347" i="3"/>
  <c r="D492" i="3"/>
  <c r="C492" i="3"/>
  <c r="B492" i="3"/>
  <c r="D544" i="3"/>
  <c r="C544" i="3"/>
  <c r="B544" i="3"/>
  <c r="D459" i="3"/>
  <c r="C459" i="3"/>
  <c r="B459" i="3"/>
  <c r="D444" i="3"/>
  <c r="C444" i="3"/>
  <c r="B444" i="3"/>
  <c r="D620" i="3"/>
  <c r="C620" i="3"/>
  <c r="B620" i="3"/>
  <c r="D359" i="3"/>
  <c r="C359" i="3"/>
  <c r="B359" i="3"/>
  <c r="D211" i="3"/>
  <c r="C211" i="3"/>
  <c r="B211" i="3"/>
  <c r="D162" i="3"/>
  <c r="C162" i="3"/>
  <c r="B162" i="3"/>
  <c r="D1015" i="3"/>
  <c r="C1015" i="3"/>
  <c r="B1015" i="3"/>
  <c r="D1117" i="3"/>
  <c r="C1117" i="3"/>
  <c r="B1117" i="3"/>
  <c r="D781" i="3"/>
  <c r="C781" i="3"/>
  <c r="B781" i="3"/>
  <c r="D853" i="3"/>
  <c r="C853" i="3"/>
  <c r="B853" i="3"/>
  <c r="D972" i="3"/>
  <c r="C972" i="3"/>
  <c r="B972" i="3"/>
  <c r="D939" i="3"/>
  <c r="C939" i="3"/>
  <c r="B939" i="3"/>
  <c r="D1036" i="3"/>
  <c r="C1036" i="3"/>
  <c r="B1036" i="3"/>
  <c r="I708" i="3"/>
  <c r="G708" i="3"/>
  <c r="D708" i="3"/>
  <c r="C708" i="3"/>
  <c r="B708" i="3"/>
  <c r="D486" i="3"/>
  <c r="C486" i="3"/>
  <c r="B486" i="3"/>
  <c r="D656" i="3"/>
  <c r="C656" i="3"/>
  <c r="B656" i="3"/>
  <c r="D634" i="3"/>
  <c r="C634" i="3"/>
  <c r="B634" i="3"/>
  <c r="D671" i="3"/>
  <c r="C671" i="3"/>
  <c r="B671" i="3"/>
  <c r="D670" i="3"/>
  <c r="C670" i="3"/>
  <c r="B670" i="3"/>
  <c r="D665" i="3"/>
  <c r="C665" i="3"/>
  <c r="B665" i="3"/>
  <c r="D655" i="3"/>
  <c r="C655" i="3"/>
  <c r="B655" i="3"/>
  <c r="D793" i="3"/>
  <c r="C793" i="3"/>
  <c r="B793" i="3"/>
  <c r="D1029" i="3"/>
  <c r="C1029" i="3"/>
  <c r="B1029" i="3"/>
  <c r="D1162" i="3"/>
  <c r="C1162" i="3"/>
  <c r="B1162" i="3"/>
  <c r="D490" i="3"/>
  <c r="C490" i="3"/>
  <c r="B490" i="3"/>
  <c r="D861" i="3"/>
  <c r="C861" i="3"/>
  <c r="B861" i="3"/>
  <c r="D654" i="3"/>
  <c r="C654" i="3"/>
  <c r="B654" i="3"/>
  <c r="D646" i="3"/>
  <c r="C646" i="3"/>
  <c r="B646" i="3"/>
  <c r="D1028" i="3"/>
  <c r="C1028" i="3"/>
  <c r="B1028" i="3"/>
  <c r="I649" i="3"/>
  <c r="H649" i="3"/>
  <c r="G649" i="3"/>
  <c r="D649" i="3"/>
  <c r="C649" i="3"/>
  <c r="B649" i="3"/>
  <c r="D648" i="3"/>
  <c r="C648" i="3"/>
  <c r="B648" i="3"/>
  <c r="D1025" i="3"/>
  <c r="C1025" i="3"/>
  <c r="B1025" i="3"/>
  <c r="D647" i="3"/>
  <c r="C647" i="3"/>
  <c r="B647" i="3"/>
  <c r="D1026" i="3"/>
  <c r="C1026" i="3"/>
  <c r="B1026" i="3"/>
  <c r="D1024" i="3"/>
  <c r="C1024" i="3"/>
  <c r="B1024" i="3"/>
  <c r="D1027" i="3"/>
  <c r="C1027" i="3"/>
  <c r="B1027" i="3"/>
  <c r="I291" i="3"/>
  <c r="H291" i="3"/>
  <c r="G291" i="3"/>
  <c r="D291" i="3"/>
  <c r="C291" i="3"/>
  <c r="B291" i="3"/>
  <c r="I653" i="3"/>
  <c r="H653" i="3"/>
  <c r="G653" i="3"/>
  <c r="D653" i="3"/>
  <c r="C653" i="3"/>
  <c r="B653" i="3"/>
  <c r="D508" i="3"/>
  <c r="C508" i="3"/>
  <c r="B508" i="3"/>
  <c r="D185" i="3"/>
  <c r="C185" i="3"/>
  <c r="B185" i="3"/>
  <c r="D668" i="3"/>
  <c r="C668" i="3"/>
  <c r="B668" i="3"/>
  <c r="D657" i="3"/>
  <c r="C657" i="3"/>
  <c r="B657" i="3"/>
  <c r="D677" i="3"/>
  <c r="C677" i="3"/>
  <c r="B677" i="3"/>
  <c r="D678" i="3"/>
  <c r="C678" i="3"/>
  <c r="B678" i="3"/>
  <c r="D675" i="3"/>
  <c r="C675" i="3"/>
  <c r="B675" i="3"/>
  <c r="D669" i="3"/>
  <c r="C669" i="3"/>
  <c r="B669" i="3"/>
  <c r="D676" i="3"/>
  <c r="C676" i="3"/>
  <c r="B676" i="3"/>
  <c r="D465" i="3"/>
  <c r="C465" i="3"/>
  <c r="B465" i="3"/>
  <c r="D136" i="3"/>
  <c r="C136" i="3"/>
  <c r="B136" i="3"/>
  <c r="I497" i="3"/>
  <c r="G497" i="3"/>
  <c r="D497" i="3"/>
  <c r="C497" i="3"/>
  <c r="B497" i="3"/>
  <c r="D969" i="3"/>
  <c r="C969" i="3"/>
  <c r="B969" i="3"/>
  <c r="D479" i="3"/>
  <c r="C479" i="3"/>
  <c r="B479" i="3"/>
  <c r="D123" i="3"/>
  <c r="C123" i="3"/>
  <c r="B123" i="3"/>
  <c r="D32" i="3"/>
  <c r="C32" i="3"/>
  <c r="B32" i="3"/>
  <c r="D910" i="3"/>
  <c r="C910" i="3"/>
  <c r="B910" i="3"/>
  <c r="D1052" i="3"/>
  <c r="C1052" i="3"/>
  <c r="B1052" i="3"/>
  <c r="D1037" i="3"/>
  <c r="C1037" i="3"/>
  <c r="B1037" i="3"/>
  <c r="G792" i="3"/>
  <c r="D792" i="3"/>
  <c r="C792" i="3"/>
  <c r="B792" i="3"/>
  <c r="D948" i="3"/>
  <c r="C948" i="3"/>
  <c r="B948" i="3"/>
  <c r="D421" i="3"/>
  <c r="C421" i="3"/>
  <c r="B421" i="3"/>
  <c r="D1161" i="3"/>
  <c r="C1161" i="3"/>
  <c r="B1161" i="3"/>
  <c r="D1172" i="3"/>
  <c r="C1172" i="3"/>
  <c r="B1172" i="3"/>
  <c r="D1123" i="3"/>
  <c r="C1123" i="3"/>
  <c r="B1123" i="3"/>
  <c r="D1078" i="3"/>
  <c r="C1078" i="3"/>
  <c r="B1078" i="3"/>
  <c r="D800" i="3"/>
  <c r="C800" i="3"/>
  <c r="B800" i="3"/>
  <c r="D770" i="3"/>
  <c r="C770" i="3"/>
  <c r="B770" i="3"/>
  <c r="D768" i="3"/>
  <c r="C768" i="3"/>
  <c r="B768" i="3"/>
  <c r="D885" i="3"/>
  <c r="C885" i="3"/>
  <c r="B885" i="3"/>
  <c r="D889" i="3"/>
  <c r="C889" i="3"/>
  <c r="B889" i="3"/>
  <c r="D1104" i="3"/>
  <c r="C1104" i="3"/>
  <c r="B1104" i="3"/>
  <c r="D741" i="3"/>
  <c r="C741" i="3"/>
  <c r="B741" i="3"/>
  <c r="D769" i="3"/>
  <c r="C769" i="3"/>
  <c r="B769" i="3"/>
  <c r="D873" i="3"/>
  <c r="C873" i="3"/>
  <c r="B873" i="3"/>
  <c r="I1163" i="3"/>
  <c r="H1163" i="3"/>
  <c r="G1163" i="3"/>
  <c r="D1163" i="3"/>
  <c r="C1163" i="3"/>
  <c r="B1163" i="3"/>
  <c r="D361" i="3"/>
  <c r="C361" i="3"/>
  <c r="B361" i="3"/>
  <c r="D1144" i="3"/>
  <c r="C1144" i="3"/>
  <c r="B1144" i="3"/>
  <c r="D932" i="3"/>
  <c r="C932" i="3"/>
  <c r="B932" i="3"/>
  <c r="D1146" i="3"/>
  <c r="C1146" i="3"/>
  <c r="B1146" i="3"/>
  <c r="D856" i="3"/>
  <c r="C856" i="3"/>
  <c r="B856" i="3"/>
  <c r="D804" i="3"/>
  <c r="C804" i="3"/>
  <c r="B804" i="3"/>
  <c r="D919" i="3"/>
  <c r="C919" i="3"/>
  <c r="B919" i="3"/>
  <c r="D1092" i="3"/>
  <c r="C1092" i="3"/>
  <c r="B1092" i="3"/>
  <c r="D846" i="3"/>
  <c r="C846" i="3"/>
  <c r="B846" i="3"/>
  <c r="D1135" i="3"/>
  <c r="C1135" i="3"/>
  <c r="B1135" i="3"/>
  <c r="D749" i="3"/>
  <c r="C749" i="3"/>
  <c r="B749" i="3"/>
  <c r="D956" i="3"/>
  <c r="C956" i="3"/>
  <c r="B956" i="3"/>
  <c r="D402" i="3"/>
  <c r="C402" i="3"/>
  <c r="B402" i="3"/>
  <c r="D1143" i="3"/>
  <c r="C1143" i="3"/>
  <c r="B1143" i="3"/>
  <c r="D1107" i="3"/>
  <c r="C1107" i="3"/>
  <c r="B1107" i="3"/>
  <c r="D791" i="3"/>
  <c r="C791" i="3"/>
  <c r="B791" i="3"/>
  <c r="I717" i="3"/>
  <c r="H717" i="3"/>
  <c r="G717" i="3"/>
  <c r="D717" i="3"/>
  <c r="C717" i="3"/>
  <c r="B717" i="3"/>
  <c r="D881" i="3"/>
  <c r="C881" i="3"/>
  <c r="B881" i="3"/>
  <c r="D882" i="3"/>
  <c r="C882" i="3"/>
  <c r="B882" i="3"/>
  <c r="D1114" i="3"/>
  <c r="C1114" i="3"/>
  <c r="B1114" i="3"/>
  <c r="D816" i="3"/>
  <c r="C816" i="3"/>
  <c r="B816" i="3"/>
  <c r="D888" i="3"/>
  <c r="C888" i="3"/>
  <c r="B888" i="3"/>
  <c r="D1105" i="3"/>
  <c r="C1105" i="3"/>
  <c r="B1105" i="3"/>
  <c r="I814" i="3"/>
  <c r="H814" i="3"/>
  <c r="G814" i="3"/>
  <c r="D814" i="3"/>
  <c r="C814" i="3"/>
  <c r="B814" i="3"/>
  <c r="D734" i="3"/>
  <c r="C734" i="3"/>
  <c r="B734" i="3"/>
  <c r="D1166" i="3"/>
  <c r="C1166" i="3"/>
  <c r="B1166" i="3"/>
  <c r="D1125" i="3"/>
  <c r="C1125" i="3"/>
  <c r="B1125" i="3"/>
  <c r="J815" i="3"/>
  <c r="I815" i="3"/>
  <c r="H815" i="3"/>
  <c r="G815" i="3"/>
  <c r="D815" i="3"/>
  <c r="C815" i="3"/>
  <c r="B815" i="3"/>
  <c r="D952" i="3"/>
  <c r="C952" i="3"/>
  <c r="B952" i="3"/>
  <c r="D289" i="3"/>
  <c r="C289" i="3"/>
  <c r="B289" i="3"/>
  <c r="D891" i="3"/>
  <c r="C891" i="3"/>
  <c r="B891" i="3"/>
  <c r="D1145" i="3"/>
  <c r="C1145" i="3"/>
  <c r="B1145" i="3"/>
  <c r="I797" i="3"/>
  <c r="H797" i="3"/>
  <c r="G797" i="3"/>
  <c r="D797" i="3"/>
  <c r="C797" i="3"/>
  <c r="B797" i="3"/>
  <c r="D854" i="3"/>
  <c r="C854" i="3"/>
  <c r="B854" i="3"/>
  <c r="D1139" i="3"/>
  <c r="C1139" i="3"/>
  <c r="B1139" i="3"/>
  <c r="D1087" i="3"/>
  <c r="C1087" i="3"/>
  <c r="B1087" i="3"/>
  <c r="D843" i="3"/>
  <c r="C843" i="3"/>
  <c r="B843" i="3"/>
  <c r="D923" i="3"/>
  <c r="C923" i="3"/>
  <c r="B923" i="3"/>
  <c r="D813" i="3"/>
  <c r="C813" i="3"/>
  <c r="B813" i="3"/>
  <c r="D786" i="3"/>
  <c r="C786" i="3"/>
  <c r="B786" i="3"/>
  <c r="J855" i="3"/>
  <c r="I855" i="3"/>
  <c r="H855" i="3"/>
  <c r="G855" i="3"/>
  <c r="D855" i="3"/>
  <c r="C855" i="3"/>
  <c r="B855" i="3"/>
  <c r="D1065" i="3"/>
  <c r="C1065" i="3"/>
  <c r="B1065" i="3"/>
  <c r="D829" i="3"/>
  <c r="C829" i="3"/>
  <c r="B829" i="3"/>
  <c r="D1138" i="3"/>
  <c r="C1138" i="3"/>
  <c r="B1138" i="3"/>
  <c r="D1080" i="3"/>
  <c r="C1080" i="3"/>
  <c r="B1080" i="3"/>
  <c r="D1099" i="3"/>
  <c r="C1099" i="3"/>
  <c r="B1099" i="3"/>
  <c r="D902" i="3"/>
  <c r="C902" i="3"/>
  <c r="B902" i="3"/>
  <c r="D950" i="3"/>
  <c r="C950" i="3"/>
  <c r="B950" i="3"/>
  <c r="D1082" i="3"/>
  <c r="C1082" i="3"/>
  <c r="B1082" i="3"/>
  <c r="D742" i="3"/>
  <c r="C742" i="3"/>
  <c r="B742" i="3"/>
  <c r="D830" i="3"/>
  <c r="C830" i="3"/>
  <c r="B830" i="3"/>
  <c r="D784" i="3"/>
  <c r="C784" i="3"/>
  <c r="B784" i="3"/>
  <c r="D844" i="3"/>
  <c r="C844" i="3"/>
  <c r="B844" i="3"/>
  <c r="D1119" i="3"/>
  <c r="C1119" i="3"/>
  <c r="B1119" i="3"/>
  <c r="D1132" i="3"/>
  <c r="C1132" i="3"/>
  <c r="B1132" i="3"/>
  <c r="D801" i="3"/>
  <c r="C801" i="3"/>
  <c r="B801" i="3"/>
  <c r="D1121" i="3"/>
  <c r="C1121" i="3"/>
  <c r="B1121" i="3"/>
  <c r="J729" i="3"/>
  <c r="I729" i="3"/>
  <c r="G729" i="3"/>
  <c r="D729" i="3"/>
  <c r="C729" i="3"/>
  <c r="B729" i="3"/>
  <c r="D867" i="3"/>
  <c r="C867" i="3"/>
  <c r="B867" i="3"/>
  <c r="D934" i="3"/>
  <c r="C934" i="3"/>
  <c r="B934" i="3"/>
  <c r="I907" i="3"/>
  <c r="H907" i="3"/>
  <c r="G907" i="3"/>
  <c r="D907" i="3"/>
  <c r="C907" i="3"/>
  <c r="B907" i="3"/>
  <c r="D1067" i="3"/>
  <c r="C1067" i="3"/>
  <c r="B1067" i="3"/>
  <c r="D1088" i="3"/>
  <c r="C1088" i="3"/>
  <c r="B1088" i="3"/>
  <c r="D1151" i="3"/>
  <c r="C1151" i="3"/>
  <c r="B1151" i="3"/>
  <c r="D1034" i="3"/>
  <c r="C1034" i="3"/>
  <c r="B1034" i="3"/>
  <c r="D414" i="3"/>
  <c r="C414" i="3"/>
  <c r="B414" i="3"/>
  <c r="D1056" i="3"/>
  <c r="C1056" i="3"/>
  <c r="B1056" i="3"/>
  <c r="F1038" i="3"/>
  <c r="D1038" i="3"/>
  <c r="C1038" i="3"/>
  <c r="B1038" i="3"/>
  <c r="D776" i="3"/>
  <c r="C776" i="3"/>
  <c r="B776" i="3"/>
  <c r="D900" i="3"/>
  <c r="C900" i="3"/>
  <c r="B900" i="3"/>
  <c r="D1089" i="3"/>
  <c r="C1089" i="3"/>
  <c r="B1089" i="3"/>
  <c r="D1066" i="3"/>
  <c r="C1066" i="3"/>
  <c r="B1066" i="3"/>
  <c r="D1030" i="3"/>
  <c r="C1030" i="3"/>
  <c r="B1030" i="3"/>
  <c r="D946" i="3"/>
  <c r="C946" i="3"/>
  <c r="B946" i="3"/>
  <c r="D765" i="3"/>
  <c r="C765" i="3"/>
  <c r="B765" i="3"/>
  <c r="D803" i="3"/>
  <c r="C803" i="3"/>
  <c r="B803" i="3"/>
  <c r="D1093" i="3"/>
  <c r="C1093" i="3"/>
  <c r="B1093" i="3"/>
  <c r="D868" i="3"/>
  <c r="C868" i="3"/>
  <c r="B868" i="3"/>
  <c r="D903" i="3"/>
  <c r="C903" i="3"/>
  <c r="B903" i="3"/>
  <c r="D835" i="3"/>
  <c r="C835" i="3"/>
  <c r="B835" i="3"/>
  <c r="D392" i="3"/>
  <c r="C392" i="3"/>
  <c r="B392" i="3"/>
  <c r="D1147" i="3"/>
  <c r="C1147" i="3"/>
  <c r="B1147" i="3"/>
  <c r="D869" i="3"/>
  <c r="C869" i="3"/>
  <c r="B869" i="3"/>
  <c r="D1102" i="3"/>
  <c r="C1102" i="3"/>
  <c r="B1102" i="3"/>
  <c r="I400" i="3"/>
  <c r="H400" i="3"/>
  <c r="G400" i="3"/>
  <c r="D400" i="3"/>
  <c r="C400" i="3"/>
  <c r="B400" i="3"/>
  <c r="D927" i="3"/>
  <c r="C927" i="3"/>
  <c r="B927" i="3"/>
  <c r="D811" i="3"/>
  <c r="C811" i="3"/>
  <c r="B811" i="3"/>
  <c r="D863" i="3"/>
  <c r="C863" i="3"/>
  <c r="B863" i="3"/>
  <c r="D930" i="3"/>
  <c r="C930" i="3"/>
  <c r="B930" i="3"/>
  <c r="D1032" i="3"/>
  <c r="C1032" i="3"/>
  <c r="B1032" i="3"/>
  <c r="D714" i="3"/>
  <c r="C714" i="3"/>
  <c r="B714" i="3"/>
  <c r="D643" i="3"/>
  <c r="C643" i="3"/>
  <c r="B643" i="3"/>
  <c r="D926" i="3"/>
  <c r="C926" i="3"/>
  <c r="B926" i="3"/>
  <c r="I905" i="3"/>
  <c r="H905" i="3"/>
  <c r="G905" i="3"/>
  <c r="D905" i="3"/>
  <c r="C905" i="3"/>
  <c r="B905" i="3"/>
  <c r="D965" i="3"/>
  <c r="C965" i="3"/>
  <c r="B965" i="3"/>
  <c r="D890" i="3"/>
  <c r="C890" i="3"/>
  <c r="B890" i="3"/>
  <c r="D529" i="3"/>
  <c r="C529" i="3"/>
  <c r="B529" i="3"/>
  <c r="D808" i="3"/>
  <c r="C808" i="3"/>
  <c r="B808" i="3"/>
  <c r="D482" i="3"/>
  <c r="C482" i="3"/>
  <c r="B482" i="3"/>
  <c r="D862" i="3"/>
  <c r="C862" i="3"/>
  <c r="B862" i="3"/>
  <c r="D928" i="3"/>
  <c r="C928" i="3"/>
  <c r="B928" i="3"/>
  <c r="D1071" i="3"/>
  <c r="C1071" i="3"/>
  <c r="B1071" i="3"/>
  <c r="D29" i="3"/>
  <c r="C29" i="3"/>
  <c r="B29" i="3"/>
  <c r="I824" i="3"/>
  <c r="H824" i="3"/>
  <c r="G824" i="3"/>
  <c r="D824" i="3"/>
  <c r="C824" i="3"/>
  <c r="B824" i="3"/>
  <c r="D788" i="3"/>
  <c r="C788" i="3"/>
  <c r="B788" i="3"/>
  <c r="D789" i="3"/>
  <c r="C789" i="3"/>
  <c r="B789" i="3"/>
  <c r="D1100" i="3"/>
  <c r="C1100" i="3"/>
  <c r="B1100" i="3"/>
  <c r="D795" i="3"/>
  <c r="C795" i="3"/>
  <c r="B795" i="3"/>
  <c r="D780" i="3"/>
  <c r="C780" i="3"/>
  <c r="B780" i="3"/>
  <c r="D752" i="3"/>
  <c r="C752" i="3"/>
  <c r="B752" i="3"/>
  <c r="J819" i="3"/>
  <c r="I819" i="3"/>
  <c r="G819" i="3"/>
  <c r="D819" i="3"/>
  <c r="C819" i="3"/>
  <c r="B819" i="3"/>
  <c r="D395" i="3"/>
  <c r="C395" i="3"/>
  <c r="B395" i="3"/>
  <c r="D751" i="3"/>
  <c r="C751" i="3"/>
  <c r="B751" i="3"/>
  <c r="D702" i="3"/>
  <c r="C702" i="3"/>
  <c r="B702" i="3"/>
  <c r="D743" i="3"/>
  <c r="C743" i="3"/>
  <c r="B743" i="3"/>
  <c r="D834" i="3"/>
  <c r="C834" i="3"/>
  <c r="B834" i="3"/>
  <c r="I775" i="3"/>
  <c r="H775" i="3"/>
  <c r="G775" i="3"/>
  <c r="D775" i="3"/>
  <c r="C775" i="3"/>
  <c r="B775" i="3"/>
  <c r="D701" i="3"/>
  <c r="C701" i="3"/>
  <c r="B701" i="3"/>
  <c r="D796" i="3"/>
  <c r="C796" i="3"/>
  <c r="B796" i="3"/>
  <c r="D773" i="3"/>
  <c r="C773" i="3"/>
  <c r="B773" i="3"/>
  <c r="D369" i="3"/>
  <c r="C369" i="3"/>
  <c r="B369" i="3"/>
  <c r="D839" i="3"/>
  <c r="C839" i="3"/>
  <c r="B839" i="3"/>
  <c r="D1116" i="3"/>
  <c r="C1116" i="3"/>
  <c r="B1116" i="3"/>
  <c r="D1109" i="3"/>
  <c r="C1109" i="3"/>
  <c r="B1109" i="3"/>
  <c r="D1127" i="3"/>
  <c r="C1127" i="3"/>
  <c r="B1127" i="3"/>
  <c r="D755" i="3"/>
  <c r="C755" i="3"/>
  <c r="B755" i="3"/>
  <c r="D821" i="3"/>
  <c r="C821" i="3"/>
  <c r="B821" i="3"/>
  <c r="D763" i="3"/>
  <c r="C763" i="3"/>
  <c r="B763" i="3"/>
  <c r="D1130" i="3"/>
  <c r="C1130" i="3"/>
  <c r="B1130" i="3"/>
  <c r="D31" i="3"/>
  <c r="C31" i="3"/>
  <c r="B31" i="3"/>
  <c r="D406" i="3"/>
  <c r="C406" i="3"/>
  <c r="B406" i="3"/>
  <c r="J726" i="3"/>
  <c r="I726" i="3"/>
  <c r="H726" i="3"/>
  <c r="G726" i="3"/>
  <c r="D726" i="3"/>
  <c r="C726" i="3"/>
  <c r="B726" i="3"/>
  <c r="D884" i="3"/>
  <c r="C884" i="3"/>
  <c r="B884" i="3"/>
  <c r="D913" i="3"/>
  <c r="C913" i="3"/>
  <c r="B913" i="3"/>
  <c r="I1055" i="3"/>
  <c r="H1055" i="3"/>
  <c r="G1055" i="3"/>
  <c r="D1055" i="3"/>
  <c r="C1055" i="3"/>
  <c r="B1055" i="3"/>
  <c r="D1033" i="3"/>
  <c r="C1033" i="3"/>
  <c r="B1033" i="3"/>
  <c r="D1124" i="3"/>
  <c r="C1124" i="3"/>
  <c r="B1124" i="3"/>
  <c r="D1057" i="3"/>
  <c r="C1057" i="3"/>
  <c r="B1057" i="3"/>
  <c r="D812" i="3"/>
  <c r="C812" i="3"/>
  <c r="B812" i="3"/>
  <c r="D106" i="3"/>
  <c r="C106" i="3"/>
  <c r="B106" i="3"/>
  <c r="I1058" i="3"/>
  <c r="H1058" i="3"/>
  <c r="G1058" i="3"/>
  <c r="D1058" i="3"/>
  <c r="C1058" i="3"/>
  <c r="B1058" i="3"/>
  <c r="D831" i="3"/>
  <c r="C831" i="3"/>
  <c r="B831" i="3"/>
  <c r="D388" i="3"/>
  <c r="C388" i="3"/>
  <c r="B388" i="3"/>
  <c r="D766" i="3"/>
  <c r="C766" i="3"/>
  <c r="B766" i="3"/>
  <c r="D758" i="3"/>
  <c r="C758" i="3"/>
  <c r="B758" i="3"/>
  <c r="D866" i="3"/>
  <c r="C866" i="3"/>
  <c r="B866" i="3"/>
  <c r="D268" i="3"/>
  <c r="C268" i="3"/>
  <c r="B268" i="3"/>
  <c r="D911" i="3"/>
  <c r="C911" i="3"/>
  <c r="B911" i="3"/>
  <c r="D736" i="3"/>
  <c r="C736" i="3"/>
  <c r="B736" i="3"/>
  <c r="D817" i="3"/>
  <c r="C817" i="3"/>
  <c r="B817" i="3"/>
  <c r="D1085" i="3"/>
  <c r="C1085" i="3"/>
  <c r="B1085" i="3"/>
  <c r="D898" i="3"/>
  <c r="C898" i="3"/>
  <c r="B898" i="3"/>
  <c r="D1142" i="3"/>
  <c r="C1142" i="3"/>
  <c r="B1142" i="3"/>
  <c r="D1149" i="3"/>
  <c r="C1149" i="3"/>
  <c r="B1149" i="3"/>
  <c r="D894" i="3"/>
  <c r="C894" i="3"/>
  <c r="B894" i="3"/>
  <c r="D895" i="3"/>
  <c r="C895" i="3"/>
  <c r="B895" i="3"/>
  <c r="D1091" i="3"/>
  <c r="C1091" i="3"/>
  <c r="B1091" i="3"/>
  <c r="D738" i="3"/>
  <c r="C738" i="3"/>
  <c r="B738" i="3"/>
  <c r="D1148" i="3"/>
  <c r="C1148" i="3"/>
  <c r="B1148" i="3"/>
  <c r="D951" i="3"/>
  <c r="C951" i="3"/>
  <c r="B951" i="3"/>
  <c r="D1039" i="3"/>
  <c r="C1039" i="3"/>
  <c r="B1039" i="3"/>
  <c r="D818" i="3"/>
  <c r="C818" i="3"/>
  <c r="B818" i="3"/>
  <c r="D733" i="3"/>
  <c r="C733" i="3"/>
  <c r="B733" i="3"/>
  <c r="D1077" i="3"/>
  <c r="C1077" i="3"/>
  <c r="B1077" i="3"/>
  <c r="I1074" i="3"/>
  <c r="H1074" i="3"/>
  <c r="G1074" i="3"/>
  <c r="D1074" i="3"/>
  <c r="C1074" i="3"/>
  <c r="B1074" i="3"/>
  <c r="D1188" i="3"/>
  <c r="C1188" i="3"/>
  <c r="B1188" i="3"/>
  <c r="D739" i="3"/>
  <c r="C739" i="3"/>
  <c r="B739" i="3"/>
  <c r="D1150" i="3"/>
  <c r="C1150" i="3"/>
  <c r="B1150" i="3"/>
  <c r="D1079" i="3"/>
  <c r="C1079" i="3"/>
  <c r="B1079" i="3"/>
  <c r="D384" i="3"/>
  <c r="C384" i="3"/>
  <c r="B384" i="3"/>
  <c r="D1141" i="3"/>
  <c r="C1141" i="3"/>
  <c r="B1141" i="3"/>
  <c r="D1167" i="3"/>
  <c r="C1167" i="3"/>
  <c r="B1167" i="3"/>
  <c r="D1090" i="3"/>
  <c r="C1090" i="3"/>
  <c r="B1090" i="3"/>
  <c r="D887" i="3"/>
  <c r="C887" i="3"/>
  <c r="B887" i="3"/>
  <c r="D719" i="3"/>
  <c r="C719" i="3"/>
  <c r="B719" i="3"/>
  <c r="D1170" i="3"/>
  <c r="C1170" i="3"/>
  <c r="B1170" i="3"/>
  <c r="D845" i="3"/>
  <c r="C845" i="3"/>
  <c r="B845" i="3"/>
  <c r="D865" i="3"/>
  <c r="C865" i="3"/>
  <c r="B865" i="3"/>
  <c r="D864" i="3"/>
  <c r="C864" i="3"/>
  <c r="B864" i="3"/>
  <c r="D880" i="3"/>
  <c r="C880" i="3"/>
  <c r="B880" i="3"/>
  <c r="D912" i="3"/>
  <c r="C912" i="3"/>
  <c r="B912" i="3"/>
  <c r="D876" i="3"/>
  <c r="C876" i="3"/>
  <c r="B876" i="3"/>
  <c r="D1101" i="3"/>
  <c r="C1101" i="3"/>
  <c r="B1101" i="3"/>
  <c r="I41" i="3"/>
  <c r="H41" i="3"/>
  <c r="G41" i="3"/>
  <c r="D41" i="3"/>
  <c r="C41" i="3"/>
  <c r="B41" i="3"/>
  <c r="D1075" i="3"/>
  <c r="C1075" i="3"/>
  <c r="B1075" i="3"/>
  <c r="D1153" i="3"/>
  <c r="C1153" i="3"/>
  <c r="B1153" i="3"/>
  <c r="D1096" i="3"/>
  <c r="C1096" i="3"/>
  <c r="B1096" i="3"/>
  <c r="D870" i="3"/>
  <c r="C870" i="3"/>
  <c r="B870" i="3"/>
  <c r="D1110" i="3"/>
  <c r="C1110" i="3"/>
  <c r="B1110" i="3"/>
  <c r="D685" i="3"/>
  <c r="C685" i="3"/>
  <c r="B685" i="3"/>
  <c r="D852" i="3"/>
  <c r="C852" i="3"/>
  <c r="B852" i="3"/>
  <c r="D872" i="3"/>
  <c r="C872" i="3"/>
  <c r="B872" i="3"/>
  <c r="D722" i="3"/>
  <c r="C722" i="3"/>
  <c r="B722" i="3"/>
  <c r="D904" i="3"/>
  <c r="C904" i="3"/>
  <c r="B904" i="3"/>
  <c r="D764" i="3"/>
  <c r="C764" i="3"/>
  <c r="B764" i="3"/>
  <c r="D1111" i="3"/>
  <c r="C1111" i="3"/>
  <c r="B1111" i="3"/>
  <c r="D1068" i="3"/>
  <c r="C1068" i="3"/>
  <c r="B1068" i="3"/>
  <c r="D849" i="3"/>
  <c r="C849" i="3"/>
  <c r="B849" i="3"/>
  <c r="D645" i="3"/>
  <c r="C645" i="3"/>
  <c r="B645" i="3"/>
  <c r="D858" i="3"/>
  <c r="C858" i="3"/>
  <c r="B858" i="3"/>
  <c r="D1134" i="3"/>
  <c r="C1134" i="3"/>
  <c r="B1134" i="3"/>
  <c r="I915" i="3"/>
  <c r="H915" i="3"/>
  <c r="G915" i="3"/>
  <c r="D915" i="3"/>
  <c r="C915" i="3"/>
  <c r="B915" i="3"/>
  <c r="D827" i="3"/>
  <c r="C827" i="3"/>
  <c r="B827" i="3"/>
  <c r="I762" i="3"/>
  <c r="H762" i="3"/>
  <c r="G762" i="3"/>
  <c r="D762" i="3"/>
  <c r="C762" i="3"/>
  <c r="B762" i="3"/>
  <c r="D851" i="3"/>
  <c r="C851" i="3"/>
  <c r="B851" i="3"/>
  <c r="D836" i="3"/>
  <c r="C836" i="3"/>
  <c r="B836" i="3"/>
  <c r="D828" i="3"/>
  <c r="C828" i="3"/>
  <c r="B828" i="3"/>
  <c r="D1113" i="3"/>
  <c r="C1113" i="3"/>
  <c r="B1113" i="3"/>
  <c r="D777" i="3"/>
  <c r="C777" i="3"/>
  <c r="B777" i="3"/>
  <c r="D944" i="3"/>
  <c r="C944" i="3"/>
  <c r="B944" i="3"/>
  <c r="D823" i="3"/>
  <c r="C823" i="3"/>
  <c r="B823" i="3"/>
  <c r="D1126" i="3"/>
  <c r="C1126" i="3"/>
  <c r="B1126" i="3"/>
  <c r="D787" i="3"/>
  <c r="C787" i="3"/>
  <c r="B787" i="3"/>
  <c r="D921" i="3"/>
  <c r="C921" i="3"/>
  <c r="B921" i="3"/>
  <c r="D774" i="3"/>
  <c r="C774" i="3"/>
  <c r="B774" i="3"/>
  <c r="D778" i="3"/>
  <c r="C778" i="3"/>
  <c r="B778" i="3"/>
  <c r="D1083" i="3"/>
  <c r="C1083" i="3"/>
  <c r="B1083" i="3"/>
  <c r="I728" i="3"/>
  <c r="H728" i="3"/>
  <c r="G728" i="3"/>
  <c r="D728" i="3"/>
  <c r="C728" i="3"/>
  <c r="B728" i="3"/>
  <c r="D879" i="3"/>
  <c r="C879" i="3"/>
  <c r="B879" i="3"/>
  <c r="D1069" i="3"/>
  <c r="C1069" i="3"/>
  <c r="B1069" i="3"/>
  <c r="D945" i="3"/>
  <c r="C945" i="3"/>
  <c r="B945" i="3"/>
  <c r="D783" i="3"/>
  <c r="C783" i="3"/>
  <c r="B783" i="3"/>
  <c r="D826" i="3"/>
  <c r="C826" i="3"/>
  <c r="B826" i="3"/>
  <c r="D779" i="3"/>
  <c r="C779" i="3"/>
  <c r="B779" i="3"/>
  <c r="D1095" i="3"/>
  <c r="C1095" i="3"/>
  <c r="B1095" i="3"/>
  <c r="D943" i="3"/>
  <c r="C943" i="3"/>
  <c r="B943" i="3"/>
  <c r="D850" i="3"/>
  <c r="C850" i="3"/>
  <c r="B850" i="3"/>
  <c r="D938" i="3"/>
  <c r="C938" i="3"/>
  <c r="B938" i="3"/>
  <c r="D1159" i="3"/>
  <c r="C1159" i="3"/>
  <c r="B1159" i="3"/>
  <c r="D908" i="3"/>
  <c r="C908" i="3"/>
  <c r="B908" i="3"/>
  <c r="D922" i="3"/>
  <c r="C922" i="3"/>
  <c r="B922" i="3"/>
  <c r="D925" i="3"/>
  <c r="C925" i="3"/>
  <c r="B925" i="3"/>
  <c r="D1158" i="3"/>
  <c r="C1158" i="3"/>
  <c r="B1158" i="3"/>
  <c r="D1140" i="3"/>
  <c r="C1140" i="3"/>
  <c r="B1140" i="3"/>
  <c r="D1086" i="3"/>
  <c r="C1086" i="3"/>
  <c r="B1086" i="3"/>
  <c r="I1059" i="3"/>
  <c r="H1059" i="3"/>
  <c r="G1059" i="3"/>
  <c r="D1059" i="3"/>
  <c r="C1059" i="3"/>
  <c r="B1059" i="3"/>
  <c r="D747" i="3"/>
  <c r="C747" i="3"/>
  <c r="B747" i="3"/>
  <c r="D1060" i="3"/>
  <c r="C1060" i="3"/>
  <c r="B1060" i="3"/>
  <c r="I909" i="3"/>
  <c r="H909" i="3"/>
  <c r="G909" i="3"/>
  <c r="D909" i="3"/>
  <c r="C909" i="3"/>
  <c r="B909" i="3"/>
  <c r="D721" i="3"/>
  <c r="C721" i="3"/>
  <c r="B721" i="3"/>
  <c r="D1073" i="3"/>
  <c r="C1073" i="3"/>
  <c r="B1073" i="3"/>
  <c r="H841" i="3"/>
  <c r="G841" i="3"/>
  <c r="D841" i="3"/>
  <c r="C841" i="3"/>
  <c r="B841" i="3"/>
  <c r="D1072" i="3"/>
  <c r="C1072" i="3"/>
  <c r="B1072" i="3"/>
  <c r="D1115" i="3"/>
  <c r="C1115" i="3"/>
  <c r="B1115" i="3"/>
  <c r="D706" i="3"/>
  <c r="C706" i="3"/>
  <c r="B706" i="3"/>
  <c r="D832" i="3"/>
  <c r="C832" i="3"/>
  <c r="B832" i="3"/>
  <c r="D368" i="3"/>
  <c r="C368" i="3"/>
  <c r="B368" i="3"/>
  <c r="D759" i="3"/>
  <c r="C759" i="3"/>
  <c r="B759" i="3"/>
  <c r="D761" i="3"/>
  <c r="C761" i="3"/>
  <c r="B761" i="3"/>
  <c r="D860" i="3"/>
  <c r="C860" i="3"/>
  <c r="B860" i="3"/>
  <c r="D750" i="3"/>
  <c r="C750" i="3"/>
  <c r="B750" i="3"/>
  <c r="D790" i="3"/>
  <c r="C790" i="3"/>
  <c r="B790" i="3"/>
  <c r="D1168" i="3"/>
  <c r="C1168" i="3"/>
  <c r="B1168" i="3"/>
  <c r="D906" i="3"/>
  <c r="C906" i="3"/>
  <c r="B906" i="3"/>
  <c r="D712" i="3"/>
  <c r="C712" i="3"/>
  <c r="B712" i="3"/>
  <c r="D744" i="3"/>
  <c r="C744" i="3"/>
  <c r="B744" i="3"/>
  <c r="D1070" i="3"/>
  <c r="C1070" i="3"/>
  <c r="B1070" i="3"/>
  <c r="D735" i="3"/>
  <c r="C735" i="3"/>
  <c r="B735" i="3"/>
  <c r="D1103" i="3"/>
  <c r="C1103" i="3"/>
  <c r="B1103" i="3"/>
  <c r="D772" i="3"/>
  <c r="C772" i="3"/>
  <c r="B772" i="3"/>
  <c r="D757" i="3"/>
  <c r="C757" i="3"/>
  <c r="B757" i="3"/>
  <c r="D723" i="3"/>
  <c r="C723" i="3"/>
  <c r="B723" i="3"/>
  <c r="D715" i="3"/>
  <c r="C715" i="3"/>
  <c r="B715" i="3"/>
  <c r="D916" i="3"/>
  <c r="C916" i="3"/>
  <c r="B916" i="3"/>
  <c r="J1169" i="3"/>
  <c r="I1169" i="3"/>
  <c r="H1169" i="3"/>
  <c r="G1169" i="3"/>
  <c r="D1169" i="3"/>
  <c r="C1169" i="3"/>
  <c r="B1169" i="3"/>
  <c r="I833" i="3"/>
  <c r="H833" i="3"/>
  <c r="G833" i="3"/>
  <c r="D833" i="3"/>
  <c r="C833" i="3"/>
  <c r="B833" i="3"/>
  <c r="D410" i="3"/>
  <c r="C410" i="3"/>
  <c r="B410" i="3"/>
  <c r="D901" i="3"/>
  <c r="C901" i="3"/>
  <c r="B901" i="3"/>
  <c r="D771" i="3"/>
  <c r="C771" i="3"/>
  <c r="B771" i="3"/>
  <c r="D732" i="3"/>
  <c r="C732" i="3"/>
  <c r="B732" i="3"/>
  <c r="D941" i="3"/>
  <c r="C941" i="3"/>
  <c r="B941" i="3"/>
  <c r="D1157" i="3"/>
  <c r="C1157" i="3"/>
  <c r="B1157" i="3"/>
  <c r="D716" i="3"/>
  <c r="C716" i="3"/>
  <c r="B716" i="3"/>
  <c r="D820" i="3"/>
  <c r="C820" i="3"/>
  <c r="B820" i="3"/>
  <c r="D825" i="3"/>
  <c r="C825" i="3"/>
  <c r="B825" i="3"/>
  <c r="D731" i="3"/>
  <c r="C731" i="3"/>
  <c r="B731" i="3"/>
  <c r="D1108" i="3"/>
  <c r="C1108" i="3"/>
  <c r="B1108" i="3"/>
  <c r="D1097" i="3"/>
  <c r="C1097" i="3"/>
  <c r="B1097" i="3"/>
  <c r="I949" i="3"/>
  <c r="H949" i="3"/>
  <c r="G949" i="3"/>
  <c r="D949" i="3"/>
  <c r="C949" i="3"/>
  <c r="B949" i="3"/>
  <c r="D1128" i="3"/>
  <c r="C1128" i="3"/>
  <c r="B1128" i="3"/>
  <c r="D955" i="3"/>
  <c r="C955" i="3"/>
  <c r="B955" i="3"/>
  <c r="D718" i="3"/>
  <c r="C718" i="3"/>
  <c r="B718" i="3"/>
  <c r="D1031" i="3"/>
  <c r="C1031" i="3"/>
  <c r="B1031" i="3"/>
  <c r="D1094" i="3"/>
  <c r="C1094" i="3"/>
  <c r="B1094" i="3"/>
  <c r="D883" i="3"/>
  <c r="C883" i="3"/>
  <c r="B883" i="3"/>
  <c r="J1081" i="3"/>
  <c r="I1081" i="3"/>
  <c r="H1081" i="3"/>
  <c r="G1081" i="3"/>
  <c r="D1081" i="3"/>
  <c r="C1081" i="3"/>
  <c r="B1081" i="3"/>
  <c r="D917" i="3"/>
  <c r="C917" i="3"/>
  <c r="B917" i="3"/>
  <c r="D1137" i="3"/>
  <c r="C1137" i="3"/>
  <c r="B1137" i="3"/>
  <c r="D822" i="3"/>
  <c r="C822" i="3"/>
  <c r="B822" i="3"/>
  <c r="D419" i="3"/>
  <c r="C419" i="3"/>
  <c r="B419" i="3"/>
  <c r="I953" i="3"/>
  <c r="H953" i="3"/>
  <c r="G953" i="3"/>
  <c r="D953" i="3"/>
  <c r="C953" i="3"/>
  <c r="B953" i="3"/>
  <c r="D837" i="3"/>
  <c r="C837" i="3"/>
  <c r="B837" i="3"/>
  <c r="I920" i="3"/>
  <c r="H920" i="3"/>
  <c r="G920" i="3"/>
  <c r="D920" i="3"/>
  <c r="C920" i="3"/>
  <c r="B920" i="3"/>
  <c r="D1118" i="3"/>
  <c r="C1118" i="3"/>
  <c r="B1118" i="3"/>
  <c r="D940" i="3"/>
  <c r="C940" i="3"/>
  <c r="B940" i="3"/>
  <c r="D711" i="3"/>
  <c r="C711" i="3"/>
  <c r="B711" i="3"/>
  <c r="D740" i="3"/>
  <c r="C740" i="3"/>
  <c r="B740" i="3"/>
  <c r="D936" i="3"/>
  <c r="C936" i="3"/>
  <c r="B936" i="3"/>
  <c r="D935" i="3"/>
  <c r="C935" i="3"/>
  <c r="B935" i="3"/>
  <c r="J878" i="3"/>
  <c r="I878" i="3"/>
  <c r="H878" i="3"/>
  <c r="G878" i="3"/>
  <c r="D878" i="3"/>
  <c r="C878" i="3"/>
  <c r="B878" i="3"/>
  <c r="D403" i="3"/>
  <c r="C403" i="3"/>
  <c r="B403" i="3"/>
  <c r="D794" i="3"/>
  <c r="C794" i="3"/>
  <c r="B794" i="3"/>
  <c r="D705" i="3"/>
  <c r="C705" i="3"/>
  <c r="B705" i="3"/>
  <c r="D806" i="3"/>
  <c r="C806" i="3"/>
  <c r="B806" i="3"/>
  <c r="D1098" i="3"/>
  <c r="C1098" i="3"/>
  <c r="B1098" i="3"/>
  <c r="D1155" i="3"/>
  <c r="C1155" i="3"/>
  <c r="B1155" i="3"/>
  <c r="J877" i="3"/>
  <c r="I877" i="3"/>
  <c r="H877" i="3"/>
  <c r="G877" i="3"/>
  <c r="D877" i="3"/>
  <c r="C877" i="3"/>
  <c r="B877" i="3"/>
  <c r="D886" i="3"/>
  <c r="C886" i="3"/>
  <c r="B886" i="3"/>
  <c r="D937" i="3"/>
  <c r="C937" i="3"/>
  <c r="B937" i="3"/>
  <c r="D874" i="3"/>
  <c r="C874" i="3"/>
  <c r="B874" i="3"/>
  <c r="D914" i="3"/>
  <c r="C914" i="3"/>
  <c r="B914" i="3"/>
  <c r="D848" i="3"/>
  <c r="C848" i="3"/>
  <c r="B848" i="3"/>
  <c r="D748" i="3"/>
  <c r="C748" i="3"/>
  <c r="B748" i="3"/>
  <c r="I899" i="3"/>
  <c r="H899" i="3"/>
  <c r="G899" i="3"/>
  <c r="D899" i="3"/>
  <c r="C899" i="3"/>
  <c r="B899" i="3"/>
  <c r="D1152" i="3"/>
  <c r="C1152" i="3"/>
  <c r="B1152" i="3"/>
  <c r="F1154" i="3"/>
  <c r="D1154" i="3"/>
  <c r="C1154" i="3"/>
  <c r="B1154" i="3"/>
  <c r="D420" i="3"/>
  <c r="C420" i="3"/>
  <c r="B420" i="3"/>
  <c r="D709" i="3"/>
  <c r="C709" i="3"/>
  <c r="B709" i="3"/>
  <c r="D1120" i="3"/>
  <c r="C1120" i="3"/>
  <c r="B1120" i="3"/>
  <c r="D1064" i="3"/>
  <c r="C1064" i="3"/>
  <c r="B1064" i="3"/>
  <c r="D707" i="3"/>
  <c r="C707" i="3"/>
  <c r="B707" i="3"/>
  <c r="D704" i="3"/>
  <c r="C704" i="3"/>
  <c r="B704" i="3"/>
  <c r="D859" i="3"/>
  <c r="C859" i="3"/>
  <c r="B859" i="3"/>
  <c r="D753" i="3"/>
  <c r="C753" i="3"/>
  <c r="B753" i="3"/>
  <c r="D947" i="3"/>
  <c r="C947" i="3"/>
  <c r="B947" i="3"/>
  <c r="D1112" i="3"/>
  <c r="C1112" i="3"/>
  <c r="B1112" i="3"/>
  <c r="D1076" i="3"/>
  <c r="C1076" i="3"/>
  <c r="B1076" i="3"/>
  <c r="I273" i="3"/>
  <c r="H273" i="3"/>
  <c r="G273" i="3"/>
  <c r="D273" i="3"/>
  <c r="C273" i="3"/>
  <c r="B273" i="3"/>
  <c r="D391" i="3"/>
  <c r="C391" i="3"/>
  <c r="B391" i="3"/>
  <c r="D737" i="3"/>
  <c r="C737" i="3"/>
  <c r="B737" i="3"/>
  <c r="D1156" i="3"/>
  <c r="C1156" i="3"/>
  <c r="B1156" i="3"/>
  <c r="D798" i="3"/>
  <c r="C798" i="3"/>
  <c r="B798" i="3"/>
  <c r="D782" i="3"/>
  <c r="C782" i="3"/>
  <c r="B782" i="3"/>
  <c r="D756" i="3"/>
  <c r="C756" i="3"/>
  <c r="B756" i="3"/>
  <c r="D809" i="3"/>
  <c r="C809" i="3"/>
  <c r="B809" i="3"/>
  <c r="D399" i="3"/>
  <c r="C399" i="3"/>
  <c r="B399" i="3"/>
  <c r="D942" i="3"/>
  <c r="C942" i="3"/>
  <c r="B942" i="3"/>
  <c r="D810" i="3"/>
  <c r="C810" i="3"/>
  <c r="B810" i="3"/>
  <c r="D703" i="3"/>
  <c r="C703" i="3"/>
  <c r="B703" i="3"/>
  <c r="D1106" i="3"/>
  <c r="C1106" i="3"/>
  <c r="B1106" i="3"/>
  <c r="D760" i="3"/>
  <c r="C760" i="3"/>
  <c r="B760" i="3"/>
  <c r="F842" i="3"/>
  <c r="D842" i="3"/>
  <c r="C842" i="3"/>
  <c r="B842" i="3"/>
  <c r="D724" i="3"/>
  <c r="C724" i="3"/>
  <c r="B724" i="3"/>
  <c r="D875" i="3"/>
  <c r="C875" i="3"/>
  <c r="B875" i="3"/>
  <c r="I1063" i="3"/>
  <c r="G1063" i="3"/>
  <c r="D1063" i="3"/>
  <c r="C1063" i="3"/>
  <c r="B1063" i="3"/>
  <c r="D404" i="3"/>
  <c r="C404" i="3"/>
  <c r="B404" i="3"/>
  <c r="D799" i="3"/>
  <c r="C799" i="3"/>
  <c r="B799" i="3"/>
  <c r="D730" i="3"/>
  <c r="C730" i="3"/>
  <c r="B730" i="3"/>
  <c r="I478" i="3"/>
  <c r="H478" i="3"/>
  <c r="G478" i="3"/>
  <c r="D478" i="3"/>
  <c r="C478" i="3"/>
  <c r="B478" i="3"/>
  <c r="I525" i="3"/>
  <c r="H525" i="3"/>
  <c r="G525" i="3"/>
  <c r="D525" i="3"/>
  <c r="C525" i="3"/>
  <c r="B525" i="3"/>
  <c r="D466" i="3"/>
  <c r="C466" i="3"/>
  <c r="B466" i="3"/>
  <c r="D401" i="3"/>
  <c r="C401" i="3"/>
  <c r="B401" i="3"/>
  <c r="I295" i="3"/>
  <c r="H295" i="3"/>
  <c r="G295" i="3"/>
  <c r="D295" i="3"/>
  <c r="C295" i="3"/>
  <c r="B295" i="3"/>
  <c r="I693" i="3"/>
  <c r="H693" i="3"/>
  <c r="G693" i="3"/>
  <c r="D693" i="3"/>
  <c r="C693" i="3"/>
  <c r="B693" i="3"/>
  <c r="D152" i="3"/>
  <c r="C152" i="3"/>
  <c r="B152" i="3"/>
  <c r="J463" i="3"/>
  <c r="I463" i="3"/>
  <c r="H463" i="3"/>
  <c r="G463" i="3"/>
  <c r="D463" i="3"/>
  <c r="C463" i="3"/>
  <c r="B463" i="3"/>
  <c r="D409" i="3"/>
  <c r="C409" i="3"/>
  <c r="B409" i="3"/>
  <c r="D66" i="3"/>
  <c r="C66" i="3"/>
  <c r="B66" i="3"/>
  <c r="D71" i="3"/>
  <c r="C71" i="3"/>
  <c r="B71" i="3"/>
  <c r="D526" i="3"/>
  <c r="C526" i="3"/>
  <c r="B526" i="3"/>
  <c r="D379" i="3"/>
  <c r="C379" i="3"/>
  <c r="B379" i="3"/>
  <c r="I578" i="3"/>
  <c r="H578" i="3"/>
  <c r="G578" i="3"/>
  <c r="D578" i="3"/>
  <c r="C578" i="3"/>
  <c r="B578" i="3"/>
  <c r="D489" i="3"/>
  <c r="C489" i="3"/>
  <c r="B489" i="3"/>
  <c r="I520" i="3"/>
  <c r="H520" i="3"/>
  <c r="G520" i="3"/>
  <c r="D520" i="3"/>
  <c r="C520" i="3"/>
  <c r="B520" i="3"/>
  <c r="D337" i="3"/>
  <c r="C337" i="3"/>
  <c r="B337" i="3"/>
  <c r="I140" i="3"/>
  <c r="H140" i="3"/>
  <c r="G140" i="3"/>
  <c r="D140" i="3"/>
  <c r="C140" i="3"/>
  <c r="B140" i="3"/>
  <c r="I292" i="3"/>
  <c r="H292" i="3"/>
  <c r="G292" i="3"/>
  <c r="D292" i="3"/>
  <c r="C292" i="3"/>
  <c r="B292" i="3"/>
  <c r="I145" i="3"/>
  <c r="H145" i="3"/>
  <c r="G145" i="3"/>
  <c r="D145" i="3"/>
  <c r="C145" i="3"/>
  <c r="B145" i="3"/>
  <c r="I228" i="3"/>
  <c r="H228" i="3"/>
  <c r="G228" i="3"/>
  <c r="D228" i="3"/>
  <c r="C228" i="3"/>
  <c r="B228" i="3"/>
  <c r="I345" i="3"/>
  <c r="H345" i="3"/>
  <c r="G345" i="3"/>
  <c r="D345" i="3"/>
  <c r="C345" i="3"/>
  <c r="B345" i="3"/>
  <c r="I62" i="3"/>
  <c r="H62" i="3"/>
  <c r="G62" i="3"/>
  <c r="D62" i="3"/>
  <c r="C62" i="3"/>
  <c r="B62" i="3"/>
  <c r="D1179" i="3"/>
  <c r="C1179" i="3"/>
  <c r="B1179" i="3"/>
  <c r="D91" i="3"/>
  <c r="C91" i="3"/>
  <c r="B91" i="3"/>
  <c r="I467" i="3"/>
  <c r="G467" i="3"/>
  <c r="D467" i="3"/>
  <c r="C467" i="3"/>
  <c r="B467" i="3"/>
  <c r="I462" i="3"/>
  <c r="H462" i="3"/>
  <c r="G462" i="3"/>
  <c r="D462" i="3"/>
  <c r="C462" i="3"/>
  <c r="B462" i="3"/>
  <c r="D242" i="3"/>
  <c r="C242" i="3"/>
  <c r="B242" i="3"/>
  <c r="D336" i="3"/>
  <c r="C336" i="3"/>
  <c r="B336" i="3"/>
  <c r="I52" i="3"/>
  <c r="H52" i="3"/>
  <c r="G52" i="3"/>
  <c r="D52" i="3"/>
  <c r="C52" i="3"/>
  <c r="B52" i="3"/>
  <c r="I250" i="3"/>
  <c r="H250" i="3"/>
  <c r="G250" i="3"/>
  <c r="D250" i="3"/>
  <c r="C250" i="3"/>
  <c r="B250" i="3"/>
  <c r="D507" i="3"/>
  <c r="C507" i="3"/>
  <c r="B507" i="3"/>
  <c r="D2" i="3"/>
  <c r="C2" i="3"/>
  <c r="B2" i="3"/>
  <c r="D1185" i="3"/>
  <c r="C1185" i="3"/>
  <c r="B1185" i="3"/>
  <c r="D1184" i="3"/>
  <c r="C1184" i="3"/>
  <c r="B1184" i="3"/>
  <c r="D1183" i="3"/>
  <c r="C1183" i="3"/>
  <c r="B1183" i="3"/>
  <c r="D659" i="3"/>
  <c r="C659" i="3"/>
  <c r="B659" i="3"/>
  <c r="D673" i="3"/>
  <c r="C673" i="3"/>
  <c r="B673" i="3"/>
  <c r="D663" i="3"/>
  <c r="C663" i="3"/>
  <c r="B663" i="3"/>
  <c r="D1187" i="3"/>
  <c r="C1187" i="3"/>
  <c r="B1187" i="3"/>
  <c r="D661" i="3"/>
  <c r="C661" i="3"/>
  <c r="B661" i="3"/>
  <c r="D662" i="3"/>
  <c r="C662" i="3"/>
  <c r="B662" i="3"/>
  <c r="D664" i="3"/>
  <c r="C664" i="3"/>
  <c r="B664" i="3"/>
  <c r="D674" i="3"/>
  <c r="C674" i="3"/>
  <c r="B674" i="3"/>
  <c r="D456" i="3"/>
  <c r="C456" i="3"/>
  <c r="B456" i="3"/>
  <c r="F658" i="3"/>
  <c r="D658" i="3"/>
  <c r="C658" i="3"/>
  <c r="B658" i="3"/>
  <c r="D672" i="3"/>
  <c r="C672" i="3"/>
  <c r="B672" i="3"/>
  <c r="D660" i="3"/>
  <c r="C660" i="3"/>
  <c r="B660" i="3"/>
  <c r="D452" i="3"/>
  <c r="C452" i="3"/>
  <c r="B452" i="3"/>
  <c r="D1186" i="3"/>
  <c r="C1186" i="3"/>
  <c r="B1186" i="3"/>
  <c r="I378" i="3"/>
  <c r="H378" i="3"/>
  <c r="G378" i="3"/>
  <c r="D378" i="3"/>
  <c r="C378" i="3"/>
  <c r="B378" i="3"/>
  <c r="D892" i="3"/>
  <c r="C892" i="3"/>
  <c r="B892" i="3"/>
  <c r="D561" i="3"/>
  <c r="C561" i="3"/>
  <c r="B561" i="3"/>
  <c r="I457" i="3"/>
  <c r="H457" i="3"/>
  <c r="G457" i="3"/>
  <c r="D457" i="3"/>
  <c r="C457" i="3"/>
  <c r="B457" i="3"/>
  <c r="D666" i="3"/>
  <c r="C666" i="3"/>
  <c r="B666" i="3"/>
  <c r="D667" i="3"/>
  <c r="C667" i="3"/>
  <c r="B667" i="3"/>
  <c r="D893" i="3"/>
  <c r="C893" i="3"/>
  <c r="B893" i="3"/>
  <c r="D519" i="3"/>
  <c r="C519" i="3"/>
  <c r="B519" i="3"/>
  <c r="D650" i="3"/>
  <c r="C650" i="3"/>
  <c r="B650" i="3"/>
  <c r="D42" i="3"/>
  <c r="C42" i="3"/>
  <c r="B42" i="3"/>
  <c r="D697" i="3"/>
  <c r="C697" i="3"/>
  <c r="B697" i="3"/>
  <c r="D698" i="3"/>
  <c r="C698" i="3"/>
  <c r="B698" i="3"/>
  <c r="D161" i="3"/>
  <c r="C161" i="3"/>
  <c r="B161" i="3"/>
  <c r="D352" i="3"/>
  <c r="C352" i="3"/>
  <c r="B352" i="3"/>
  <c r="I471" i="3"/>
  <c r="H471" i="3"/>
  <c r="G471" i="3"/>
  <c r="D471" i="3"/>
  <c r="C471" i="3"/>
  <c r="B471" i="3"/>
  <c r="D146" i="3"/>
  <c r="C146" i="3"/>
  <c r="B146" i="3"/>
  <c r="I454" i="3"/>
  <c r="G454" i="3"/>
  <c r="D454" i="3"/>
  <c r="C454" i="3"/>
  <c r="B454" i="3"/>
  <c r="J1176" i="3"/>
  <c r="I1176" i="3"/>
  <c r="H1176" i="3"/>
  <c r="G1176" i="3"/>
  <c r="D1176" i="3"/>
  <c r="C1176" i="3"/>
  <c r="B1176" i="3"/>
  <c r="D1171" i="3"/>
  <c r="C1171" i="3"/>
  <c r="B1171" i="3"/>
  <c r="I509" i="3"/>
  <c r="H509" i="3"/>
  <c r="G509" i="3"/>
  <c r="D509" i="3"/>
  <c r="C509" i="3"/>
  <c r="B509" i="3"/>
  <c r="I171" i="3"/>
  <c r="H171" i="3"/>
  <c r="G171" i="3"/>
  <c r="D171" i="3"/>
  <c r="C171" i="3"/>
  <c r="B171" i="3"/>
  <c r="I695" i="3"/>
  <c r="H695" i="3"/>
  <c r="G695" i="3"/>
  <c r="D695" i="3"/>
  <c r="C695" i="3"/>
  <c r="B695" i="3"/>
  <c r="I97" i="3"/>
  <c r="H97" i="3"/>
  <c r="G97" i="3"/>
  <c r="D97" i="3"/>
  <c r="C97" i="3"/>
  <c r="B97" i="3"/>
  <c r="I348" i="3"/>
  <c r="H348" i="3"/>
  <c r="G348" i="3"/>
  <c r="D348" i="3"/>
  <c r="C348" i="3"/>
  <c r="B348" i="3"/>
  <c r="D167" i="3"/>
  <c r="C167" i="3"/>
  <c r="B167" i="3"/>
  <c r="D341" i="3"/>
  <c r="C341" i="3"/>
  <c r="B341" i="3"/>
  <c r="I558" i="3"/>
  <c r="H558" i="3"/>
  <c r="G558" i="3"/>
  <c r="D558" i="3"/>
  <c r="C558" i="3"/>
  <c r="B558" i="3"/>
  <c r="D426" i="3"/>
  <c r="C426" i="3"/>
  <c r="B426" i="3"/>
  <c r="I557" i="3"/>
  <c r="H557" i="3"/>
  <c r="G557" i="3"/>
  <c r="D557" i="3"/>
  <c r="C557" i="3"/>
  <c r="B557" i="3"/>
  <c r="I696" i="3"/>
  <c r="H696" i="3"/>
  <c r="G696" i="3"/>
  <c r="D696" i="3"/>
  <c r="C696" i="3"/>
  <c r="B696" i="3"/>
  <c r="I119" i="3"/>
  <c r="H119" i="3"/>
  <c r="G119" i="3"/>
  <c r="D119" i="3"/>
  <c r="C119" i="3"/>
  <c r="B119" i="3"/>
  <c r="I521" i="3"/>
  <c r="H521" i="3"/>
  <c r="G521" i="3"/>
  <c r="D521" i="3"/>
  <c r="C521" i="3"/>
  <c r="B521" i="3"/>
  <c r="I240" i="3"/>
  <c r="H240" i="3"/>
  <c r="G240" i="3"/>
  <c r="D240" i="3"/>
  <c r="C240" i="3"/>
  <c r="B240" i="3"/>
  <c r="D511" i="3"/>
  <c r="C511" i="3"/>
  <c r="B511" i="3"/>
  <c r="I246" i="3"/>
  <c r="H246" i="3"/>
  <c r="G246" i="3"/>
  <c r="D246" i="3"/>
  <c r="C246" i="3"/>
  <c r="B246" i="3"/>
  <c r="I694" i="3"/>
  <c r="H694" i="3"/>
  <c r="G694" i="3"/>
  <c r="D694" i="3"/>
  <c r="C694" i="3"/>
  <c r="B694" i="3"/>
  <c r="D55" i="3"/>
  <c r="C55" i="3"/>
  <c r="B55" i="3"/>
  <c r="I165" i="3"/>
  <c r="H165" i="3"/>
  <c r="G165" i="3"/>
  <c r="D165" i="3"/>
  <c r="C165" i="3"/>
  <c r="B165" i="3"/>
  <c r="I547" i="3"/>
  <c r="H547" i="3"/>
  <c r="G547" i="3"/>
  <c r="D547" i="3"/>
  <c r="C547" i="3"/>
  <c r="B547" i="3"/>
  <c r="D472" i="3"/>
  <c r="C472" i="3"/>
  <c r="B472" i="3"/>
  <c r="I80" i="3"/>
  <c r="H80" i="3"/>
  <c r="G80" i="3"/>
  <c r="D80" i="3"/>
  <c r="C80" i="3"/>
  <c r="B80" i="3"/>
  <c r="I23" i="3"/>
  <c r="H23" i="3"/>
  <c r="G23" i="3"/>
  <c r="D23" i="3"/>
  <c r="C23" i="3"/>
  <c r="B23" i="3"/>
  <c r="I117" i="3"/>
  <c r="H117" i="3"/>
  <c r="G117" i="3"/>
  <c r="D117" i="3"/>
  <c r="C117" i="3"/>
  <c r="B117" i="3"/>
  <c r="I274" i="3"/>
  <c r="H274" i="3"/>
  <c r="G274" i="3"/>
  <c r="D274" i="3"/>
  <c r="C274" i="3"/>
  <c r="B274" i="3"/>
  <c r="D1049" i="3"/>
  <c r="C1049" i="3"/>
  <c r="B1049" i="3"/>
  <c r="I64" i="3"/>
  <c r="H64" i="3"/>
  <c r="G64" i="3"/>
  <c r="D64" i="3"/>
  <c r="C64" i="3"/>
  <c r="B64" i="3"/>
  <c r="I493" i="3"/>
  <c r="H493" i="3"/>
  <c r="G493" i="3"/>
  <c r="D493" i="3"/>
  <c r="C493" i="3"/>
  <c r="B493" i="3"/>
  <c r="D370" i="3"/>
  <c r="C370" i="3"/>
  <c r="B370" i="3"/>
  <c r="J523" i="3"/>
  <c r="I523" i="3"/>
  <c r="H523" i="3"/>
  <c r="G523" i="3"/>
  <c r="D523" i="3"/>
  <c r="C523" i="3"/>
  <c r="B523" i="3"/>
  <c r="I313" i="3"/>
  <c r="H313" i="3"/>
  <c r="G313" i="3"/>
  <c r="D313" i="3"/>
  <c r="C313" i="3"/>
  <c r="B313" i="3"/>
  <c r="I584" i="3"/>
  <c r="H584" i="3"/>
  <c r="G584" i="3"/>
  <c r="D584" i="3"/>
  <c r="C584" i="3"/>
  <c r="B584" i="3"/>
  <c r="D503" i="3"/>
  <c r="C503" i="3"/>
  <c r="B503" i="3"/>
  <c r="F61" i="3"/>
  <c r="D61" i="3"/>
  <c r="C61" i="3"/>
  <c r="B61" i="3"/>
  <c r="D1190" i="3"/>
  <c r="C1190" i="3"/>
  <c r="B1190" i="3"/>
  <c r="D1192" i="3"/>
  <c r="C1192" i="3"/>
  <c r="B1192" i="3"/>
  <c r="D1191" i="3"/>
  <c r="C1191" i="3"/>
  <c r="B1191" i="3"/>
  <c r="D1193" i="3"/>
  <c r="C1193" i="3"/>
  <c r="B1193" i="3"/>
  <c r="D679" i="3"/>
  <c r="C679" i="3"/>
  <c r="B679" i="3"/>
  <c r="D58" i="3"/>
  <c r="C58" i="3"/>
  <c r="B58" i="3"/>
  <c r="D144" i="3"/>
  <c r="C144" i="3"/>
  <c r="B144" i="3"/>
  <c r="I515" i="3"/>
  <c r="H515" i="3"/>
  <c r="G515" i="3"/>
  <c r="D515" i="3"/>
  <c r="C515" i="3"/>
  <c r="B515" i="3"/>
  <c r="D455" i="3"/>
  <c r="C455" i="3"/>
  <c r="B455" i="3"/>
  <c r="D1194" i="3"/>
  <c r="C1194" i="3"/>
  <c r="B1194" i="3"/>
  <c r="D524" i="3"/>
  <c r="C524" i="3"/>
  <c r="B524" i="3"/>
  <c r="D239" i="3"/>
  <c r="C239" i="3"/>
  <c r="B239" i="3"/>
  <c r="D692" i="3"/>
  <c r="C692" i="3"/>
  <c r="B692" i="3"/>
  <c r="D342" i="3"/>
  <c r="C342" i="3"/>
  <c r="B342" i="3"/>
  <c r="D326" i="3"/>
  <c r="C326" i="3"/>
  <c r="B326" i="3"/>
  <c r="D333" i="3"/>
  <c r="C333" i="3"/>
  <c r="B333" i="3"/>
  <c r="D445" i="3"/>
  <c r="C445" i="3"/>
  <c r="B445" i="3"/>
  <c r="D1044" i="3"/>
  <c r="C1044" i="3"/>
  <c r="B1044" i="3"/>
  <c r="D350" i="3"/>
  <c r="C350" i="3"/>
  <c r="B350" i="3"/>
  <c r="D60" i="3"/>
  <c r="C60" i="3"/>
  <c r="B60" i="3"/>
  <c r="D202" i="3"/>
  <c r="C202" i="3"/>
  <c r="B202" i="3"/>
  <c r="D285" i="3"/>
  <c r="C285" i="3"/>
  <c r="B285" i="3"/>
  <c r="D897" i="3"/>
  <c r="C897" i="3"/>
  <c r="B897" i="3"/>
  <c r="D376" i="3"/>
  <c r="C376" i="3"/>
  <c r="B376" i="3"/>
  <c r="D353" i="3"/>
  <c r="C353" i="3"/>
  <c r="B353" i="3"/>
  <c r="D124" i="3"/>
  <c r="C124" i="3"/>
  <c r="B124" i="3"/>
  <c r="I263" i="3"/>
  <c r="H263" i="3"/>
  <c r="G263" i="3"/>
  <c r="D263" i="3"/>
  <c r="C263" i="3"/>
  <c r="B263" i="3"/>
  <c r="I164" i="3"/>
  <c r="H164" i="3"/>
  <c r="G164" i="3"/>
  <c r="D164" i="3"/>
  <c r="C164" i="3"/>
  <c r="B164" i="3"/>
  <c r="D1013" i="3"/>
  <c r="C1013" i="3"/>
  <c r="B1013" i="3"/>
  <c r="D85" i="3"/>
  <c r="C85" i="3"/>
  <c r="B85" i="3"/>
  <c r="D437" i="3"/>
  <c r="C437" i="3"/>
  <c r="B437" i="3"/>
  <c r="D1165" i="3"/>
  <c r="C1165" i="3"/>
  <c r="B1165" i="3"/>
  <c r="I539" i="3"/>
  <c r="H539" i="3"/>
  <c r="G539" i="3"/>
  <c r="D539" i="3"/>
  <c r="C539" i="3"/>
  <c r="B539" i="3"/>
  <c r="D328" i="3"/>
  <c r="C328" i="3"/>
  <c r="B328" i="3"/>
  <c r="D49" i="3"/>
  <c r="C49" i="3"/>
  <c r="B49" i="3"/>
  <c r="D256" i="3"/>
  <c r="C256" i="3"/>
  <c r="B256" i="3"/>
  <c r="D67" i="3"/>
  <c r="C67" i="3"/>
  <c r="B67" i="3"/>
  <c r="D170" i="3"/>
  <c r="C170" i="3"/>
  <c r="B170" i="3"/>
  <c r="I266" i="3"/>
  <c r="G266" i="3"/>
  <c r="D266" i="3"/>
  <c r="C266" i="3"/>
  <c r="B266" i="3"/>
  <c r="D104" i="3"/>
  <c r="C104" i="3"/>
  <c r="B104" i="3"/>
  <c r="D394" i="3"/>
  <c r="C394" i="3"/>
  <c r="B394" i="3"/>
  <c r="I572" i="3"/>
  <c r="H572" i="3"/>
  <c r="G572" i="3"/>
  <c r="D572" i="3"/>
  <c r="C572" i="3"/>
  <c r="B572" i="3"/>
  <c r="D210" i="3"/>
  <c r="C210" i="3"/>
  <c r="B210" i="3"/>
  <c r="D441" i="3"/>
  <c r="C441" i="3"/>
  <c r="B441" i="3"/>
  <c r="D76" i="3"/>
  <c r="C76" i="3"/>
  <c r="B76" i="3"/>
  <c r="D316" i="3"/>
  <c r="C316" i="3"/>
  <c r="B316" i="3"/>
  <c r="D1173" i="3"/>
  <c r="C1173" i="3"/>
  <c r="B1173" i="3"/>
  <c r="D977" i="3"/>
  <c r="C977" i="3"/>
  <c r="B977" i="3"/>
  <c r="D317" i="3"/>
  <c r="C317" i="3"/>
  <c r="B317" i="3"/>
  <c r="D1008" i="3"/>
  <c r="C1008" i="3"/>
  <c r="B1008" i="3"/>
  <c r="D1012" i="3"/>
  <c r="C1012" i="3"/>
  <c r="B1012" i="3"/>
  <c r="D982" i="3"/>
  <c r="C982" i="3"/>
  <c r="B982" i="3"/>
  <c r="D594" i="3"/>
  <c r="C594" i="3"/>
  <c r="B594" i="3"/>
  <c r="I405" i="3"/>
  <c r="G405" i="3"/>
  <c r="D405" i="3"/>
  <c r="C405" i="3"/>
  <c r="B405" i="3"/>
  <c r="D422" i="3"/>
  <c r="C422" i="3"/>
  <c r="B422" i="3"/>
  <c r="D387" i="3"/>
  <c r="C387" i="3"/>
  <c r="B387" i="3"/>
  <c r="D601" i="3"/>
  <c r="C601" i="3"/>
  <c r="B601" i="3"/>
  <c r="D219" i="3"/>
  <c r="C219" i="3"/>
  <c r="B219" i="3"/>
  <c r="D236" i="3"/>
  <c r="C236" i="3"/>
  <c r="B236" i="3"/>
  <c r="D587" i="3"/>
  <c r="C587" i="3"/>
  <c r="B587" i="3"/>
  <c r="D98" i="3"/>
  <c r="C98" i="3"/>
  <c r="B98" i="3"/>
  <c r="D254" i="3"/>
  <c r="C254" i="3"/>
  <c r="B254" i="3"/>
  <c r="D560" i="3"/>
  <c r="C560" i="3"/>
  <c r="B560" i="3"/>
  <c r="D233" i="3"/>
  <c r="C233" i="3"/>
  <c r="B233" i="3"/>
  <c r="D249" i="3"/>
  <c r="C249" i="3"/>
  <c r="B249" i="3"/>
  <c r="D176" i="3"/>
  <c r="C176" i="3"/>
  <c r="B176" i="3"/>
  <c r="D589" i="3"/>
  <c r="C589" i="3"/>
  <c r="B589" i="3"/>
  <c r="D1177" i="3"/>
  <c r="C1177" i="3"/>
  <c r="B1177" i="3"/>
  <c r="D339" i="3"/>
  <c r="C339" i="3"/>
  <c r="B339" i="3"/>
  <c r="D306" i="3"/>
  <c r="C306" i="3"/>
  <c r="B306" i="3"/>
  <c r="D304" i="3"/>
  <c r="C304" i="3"/>
  <c r="B304" i="3"/>
  <c r="D302" i="3"/>
  <c r="C302" i="3"/>
  <c r="B302" i="3"/>
  <c r="D88" i="3"/>
  <c r="C88" i="3"/>
  <c r="B88" i="3"/>
  <c r="D443" i="3"/>
  <c r="C443" i="3"/>
  <c r="B443" i="3"/>
  <c r="D416" i="3"/>
  <c r="C416" i="3"/>
  <c r="B416" i="3"/>
  <c r="D318" i="3"/>
  <c r="C318" i="3"/>
  <c r="B318" i="3"/>
  <c r="D193" i="3"/>
  <c r="C193" i="3"/>
  <c r="B193" i="3"/>
  <c r="D307" i="3"/>
  <c r="C307" i="3"/>
  <c r="B307" i="3"/>
  <c r="D514" i="3"/>
  <c r="C514" i="3"/>
  <c r="B514" i="3"/>
  <c r="D434" i="3"/>
  <c r="C434" i="3"/>
  <c r="B434" i="3"/>
  <c r="D22" i="3"/>
  <c r="C22" i="3"/>
  <c r="B22" i="3"/>
  <c r="D468" i="3"/>
  <c r="C468" i="3"/>
  <c r="B468" i="3"/>
  <c r="D13" i="3"/>
  <c r="C13" i="3"/>
  <c r="B13" i="3"/>
  <c r="D506" i="3"/>
  <c r="C506" i="3"/>
  <c r="B506" i="3"/>
  <c r="D133" i="3"/>
  <c r="C133" i="3"/>
  <c r="B133" i="3"/>
  <c r="D213" i="3"/>
  <c r="B213" i="3"/>
  <c r="D14" i="3"/>
  <c r="C14" i="3"/>
  <c r="B14" i="3"/>
  <c r="D383" i="3"/>
  <c r="C383" i="3"/>
  <c r="B383" i="3"/>
  <c r="D271" i="3"/>
  <c r="C271" i="3"/>
  <c r="B271" i="3"/>
  <c r="D251" i="3"/>
  <c r="C251" i="3"/>
  <c r="B251" i="3"/>
  <c r="D25" i="3"/>
  <c r="C25" i="3"/>
  <c r="B25" i="3"/>
  <c r="D174" i="3"/>
  <c r="C174" i="3"/>
  <c r="B174" i="3"/>
  <c r="D248" i="3"/>
  <c r="C248" i="3"/>
  <c r="B248" i="3"/>
  <c r="D21" i="3"/>
  <c r="C21" i="3"/>
  <c r="B21" i="3"/>
  <c r="D638" i="3"/>
  <c r="C638" i="3"/>
  <c r="B638" i="3"/>
  <c r="D432" i="3"/>
  <c r="C432" i="3"/>
  <c r="B432" i="3"/>
  <c r="D142" i="3"/>
  <c r="C142" i="3"/>
  <c r="B142" i="3"/>
  <c r="D495" i="3"/>
  <c r="C495" i="3"/>
  <c r="B495" i="3"/>
  <c r="I169" i="3"/>
  <c r="H169" i="3"/>
  <c r="G169" i="3"/>
  <c r="D169" i="3"/>
  <c r="C169" i="3"/>
  <c r="B169" i="3"/>
  <c r="D173" i="3"/>
  <c r="C173" i="3"/>
  <c r="B173" i="3"/>
  <c r="D428" i="3"/>
  <c r="C428" i="3"/>
  <c r="B428" i="3"/>
  <c r="D303" i="3"/>
  <c r="C303" i="3"/>
  <c r="B303" i="3"/>
  <c r="D120" i="3"/>
  <c r="C120" i="3"/>
  <c r="B120" i="3"/>
  <c r="D689" i="3"/>
  <c r="C689" i="3"/>
  <c r="B689" i="3"/>
  <c r="D196" i="3"/>
  <c r="C196" i="3"/>
  <c r="B196" i="3"/>
  <c r="D385" i="3"/>
  <c r="C385" i="3"/>
  <c r="B385" i="3"/>
  <c r="D108" i="3"/>
  <c r="C108" i="3"/>
  <c r="B108" i="3"/>
  <c r="D429" i="3"/>
  <c r="C429" i="3"/>
  <c r="B429" i="3"/>
  <c r="D288" i="3"/>
  <c r="C288" i="3"/>
  <c r="B288" i="3"/>
  <c r="I277" i="3"/>
  <c r="H277" i="3"/>
  <c r="G277" i="3"/>
  <c r="D277" i="3"/>
  <c r="C277" i="3"/>
  <c r="B277" i="3"/>
  <c r="D431" i="3"/>
  <c r="C431" i="3"/>
  <c r="B431" i="3"/>
  <c r="D504" i="3"/>
  <c r="C504" i="3"/>
  <c r="B504" i="3"/>
  <c r="D163" i="3"/>
  <c r="C163" i="3"/>
  <c r="B163" i="3"/>
  <c r="D247" i="3"/>
  <c r="C247" i="3"/>
  <c r="B247" i="3"/>
  <c r="D305" i="3"/>
  <c r="C305" i="3"/>
  <c r="B305" i="3"/>
  <c r="D684" i="3"/>
  <c r="C684" i="3"/>
  <c r="B684" i="3"/>
  <c r="D484" i="3"/>
  <c r="C484" i="3"/>
  <c r="B484" i="3"/>
  <c r="D103" i="3"/>
  <c r="C103" i="3"/>
  <c r="B103" i="3"/>
  <c r="D218" i="3"/>
  <c r="C218" i="3"/>
  <c r="B218" i="3"/>
  <c r="D126" i="3"/>
  <c r="C126" i="3"/>
  <c r="B126" i="3"/>
  <c r="D351" i="3"/>
  <c r="C351" i="3"/>
  <c r="B351" i="3"/>
  <c r="D147" i="3"/>
  <c r="C147" i="3"/>
  <c r="B147" i="3"/>
  <c r="D473" i="3"/>
  <c r="C473" i="3"/>
  <c r="B473" i="3"/>
  <c r="D1022" i="3"/>
  <c r="C1022" i="3"/>
  <c r="B1022" i="3"/>
  <c r="I1175" i="3"/>
  <c r="H1175" i="3"/>
  <c r="G1175" i="3"/>
  <c r="D1175" i="3"/>
  <c r="C1175" i="3"/>
  <c r="B1175" i="3"/>
  <c r="D461" i="3"/>
  <c r="C461" i="3"/>
  <c r="B461" i="3"/>
  <c r="I564" i="3"/>
  <c r="H564" i="3"/>
  <c r="G564" i="3"/>
  <c r="D564" i="3"/>
  <c r="C564" i="3"/>
  <c r="B564" i="3"/>
  <c r="D686" i="3"/>
  <c r="C686" i="3"/>
  <c r="B686" i="3"/>
  <c r="D112" i="3"/>
  <c r="C112" i="3"/>
  <c r="B112" i="3"/>
  <c r="D593" i="3"/>
  <c r="C593" i="3"/>
  <c r="B593" i="3"/>
  <c r="I541" i="3"/>
  <c r="H541" i="3"/>
  <c r="G541" i="3"/>
  <c r="D541" i="3"/>
  <c r="C541" i="3"/>
  <c r="B541" i="3"/>
  <c r="D535" i="3"/>
  <c r="C535" i="3"/>
  <c r="B535" i="3"/>
  <c r="D546" i="3"/>
  <c r="C546" i="3"/>
  <c r="B546" i="3"/>
  <c r="D633" i="3"/>
  <c r="C633" i="3"/>
  <c r="B633" i="3"/>
  <c r="D607" i="3"/>
  <c r="C607" i="3"/>
  <c r="B607" i="3"/>
  <c r="D474" i="3"/>
  <c r="C474" i="3"/>
  <c r="B474" i="3"/>
  <c r="D999" i="3"/>
  <c r="C999" i="3"/>
  <c r="B999" i="3"/>
  <c r="D367" i="3"/>
  <c r="C367" i="3"/>
  <c r="B367" i="3"/>
  <c r="D335" i="3"/>
  <c r="C335" i="3"/>
  <c r="B335" i="3"/>
  <c r="D287" i="3"/>
  <c r="C287" i="3"/>
  <c r="B287" i="3"/>
  <c r="D460" i="3"/>
  <c r="C460" i="3"/>
  <c r="B460" i="3"/>
  <c r="D582" i="3"/>
  <c r="C582" i="3"/>
  <c r="B582" i="3"/>
  <c r="D411" i="3"/>
  <c r="C411" i="3"/>
  <c r="B411" i="3"/>
  <c r="D235" i="3"/>
  <c r="C235" i="3"/>
  <c r="B235" i="3"/>
  <c r="I500" i="3"/>
  <c r="H500" i="3"/>
  <c r="G500" i="3"/>
  <c r="D500" i="3"/>
  <c r="C500" i="3"/>
  <c r="B500" i="3"/>
  <c r="D315" i="3"/>
  <c r="C315" i="3"/>
  <c r="B315" i="3"/>
  <c r="D1016" i="3"/>
  <c r="C1016" i="3"/>
  <c r="B1016" i="3"/>
  <c r="D4" i="3"/>
  <c r="C4" i="3"/>
  <c r="B4" i="3"/>
  <c r="D1181" i="3"/>
  <c r="C1181" i="3"/>
  <c r="B1181" i="3"/>
  <c r="D640" i="3"/>
  <c r="C640" i="3"/>
  <c r="B640" i="3"/>
  <c r="D156" i="3"/>
  <c r="C156" i="3"/>
  <c r="B156" i="3"/>
  <c r="D624" i="3"/>
  <c r="C624" i="3"/>
  <c r="B624" i="3"/>
  <c r="F517" i="3"/>
  <c r="D517" i="3"/>
  <c r="C517" i="3"/>
  <c r="B517" i="3"/>
  <c r="D72" i="3"/>
  <c r="C72" i="3"/>
  <c r="B72" i="3"/>
  <c r="D618" i="3"/>
  <c r="C618" i="3"/>
  <c r="B618" i="3"/>
  <c r="D75" i="3"/>
  <c r="C75" i="3"/>
  <c r="B75" i="3"/>
  <c r="D644" i="3"/>
  <c r="C644" i="3"/>
  <c r="B644" i="3"/>
  <c r="D995" i="3"/>
  <c r="C995" i="3"/>
  <c r="B995" i="3"/>
  <c r="D168" i="3"/>
  <c r="C168" i="3"/>
  <c r="B168" i="3"/>
  <c r="I73" i="3"/>
  <c r="H73" i="3"/>
  <c r="G73" i="3"/>
  <c r="D73" i="3"/>
  <c r="C73" i="3"/>
  <c r="B73" i="3"/>
  <c r="D1180" i="3"/>
  <c r="C1180" i="3"/>
  <c r="B1180" i="3"/>
  <c r="D615" i="3"/>
  <c r="C615" i="3"/>
  <c r="B615" i="3"/>
  <c r="D17" i="3"/>
  <c r="C17" i="3"/>
  <c r="B17" i="3"/>
  <c r="D518" i="3"/>
  <c r="C518" i="3"/>
  <c r="B518" i="3"/>
  <c r="D1020" i="3"/>
  <c r="C1020" i="3"/>
  <c r="B1020" i="3"/>
  <c r="D992" i="3"/>
  <c r="C992" i="3"/>
  <c r="B992" i="3"/>
  <c r="D343" i="3"/>
  <c r="C343" i="3"/>
  <c r="B343" i="3"/>
  <c r="D221" i="3"/>
  <c r="C221" i="3"/>
  <c r="B221" i="3"/>
  <c r="D10" i="3"/>
  <c r="C10" i="3"/>
  <c r="B10" i="3"/>
  <c r="D363" i="3"/>
  <c r="C363" i="3"/>
  <c r="B363" i="3"/>
  <c r="D322" i="3"/>
  <c r="C322" i="3"/>
  <c r="B322" i="3"/>
  <c r="D957" i="3"/>
  <c r="C957" i="3"/>
  <c r="B957" i="3"/>
  <c r="D46" i="3"/>
  <c r="C46" i="3"/>
  <c r="B46" i="3"/>
  <c r="D487" i="3"/>
  <c r="C487" i="3"/>
  <c r="B487" i="3"/>
  <c r="D639" i="3"/>
  <c r="C639" i="3"/>
  <c r="B639" i="3"/>
  <c r="D980" i="3"/>
  <c r="C980" i="3"/>
  <c r="B980" i="3"/>
  <c r="D7" i="3"/>
  <c r="C7" i="3"/>
  <c r="B7" i="3"/>
  <c r="I24" i="3"/>
  <c r="G24" i="3"/>
  <c r="D24" i="3"/>
  <c r="C24" i="3"/>
  <c r="B24" i="3"/>
  <c r="D1004" i="3"/>
  <c r="C1004" i="3"/>
  <c r="B1004" i="3"/>
  <c r="D687" i="3"/>
  <c r="C687" i="3"/>
  <c r="B687" i="3"/>
  <c r="D1002" i="3"/>
  <c r="C1002" i="3"/>
  <c r="B1002" i="3"/>
  <c r="D990" i="3"/>
  <c r="C990" i="3"/>
  <c r="B990" i="3"/>
  <c r="D616" i="3"/>
  <c r="C616" i="3"/>
  <c r="B616" i="3"/>
  <c r="D44" i="3"/>
  <c r="C44" i="3"/>
  <c r="B44" i="3"/>
  <c r="D583" i="3"/>
  <c r="C583" i="3"/>
  <c r="B583" i="3"/>
  <c r="D595" i="3"/>
  <c r="C595" i="3"/>
  <c r="B595" i="3"/>
  <c r="I9" i="3"/>
  <c r="G9" i="3"/>
  <c r="D9" i="3"/>
  <c r="C9" i="3"/>
  <c r="B9" i="3"/>
  <c r="D597" i="3"/>
  <c r="C597" i="3"/>
  <c r="B597" i="3"/>
  <c r="D48" i="3"/>
  <c r="C48" i="3"/>
  <c r="B48" i="3"/>
  <c r="D630" i="3"/>
  <c r="C630" i="3"/>
  <c r="B630" i="3"/>
  <c r="I26" i="3"/>
  <c r="H26" i="3"/>
  <c r="G26" i="3"/>
  <c r="D26" i="3"/>
  <c r="C26" i="3"/>
  <c r="B26" i="3"/>
  <c r="I232" i="3"/>
  <c r="H232" i="3"/>
  <c r="G232" i="3"/>
  <c r="D232" i="3"/>
  <c r="C232" i="3"/>
  <c r="B232" i="3"/>
  <c r="D577" i="3"/>
  <c r="C577" i="3"/>
  <c r="B577" i="3"/>
  <c r="D989" i="3"/>
  <c r="C989" i="3"/>
  <c r="B989" i="3"/>
  <c r="D1009" i="3"/>
  <c r="C1009" i="3"/>
  <c r="B1009" i="3"/>
  <c r="D155" i="3"/>
  <c r="C155" i="3"/>
  <c r="B155" i="3"/>
  <c r="D427" i="3"/>
  <c r="C427" i="3"/>
  <c r="B427" i="3"/>
  <c r="D12" i="3"/>
  <c r="C12" i="3"/>
  <c r="B12" i="3"/>
  <c r="D265" i="3"/>
  <c r="C265" i="3"/>
  <c r="B265" i="3"/>
  <c r="D617" i="3"/>
  <c r="C617" i="3"/>
  <c r="B617" i="3"/>
  <c r="D1017" i="3"/>
  <c r="C1017" i="3"/>
  <c r="B1017" i="3"/>
  <c r="D237" i="3"/>
  <c r="C237" i="3"/>
  <c r="B237" i="3"/>
  <c r="D360" i="3"/>
  <c r="C360" i="3"/>
  <c r="B360" i="3"/>
  <c r="D182" i="3"/>
  <c r="C182" i="3"/>
  <c r="B182" i="3"/>
  <c r="D440" i="3"/>
  <c r="C440" i="3"/>
  <c r="B440" i="3"/>
  <c r="D224" i="3"/>
  <c r="C224" i="3"/>
  <c r="B224" i="3"/>
  <c r="D386" i="3"/>
  <c r="C386" i="3"/>
  <c r="B386" i="3"/>
  <c r="I362" i="3"/>
  <c r="H362" i="3"/>
  <c r="G362" i="3"/>
  <c r="D362" i="3"/>
  <c r="C362" i="3"/>
  <c r="B362" i="3"/>
  <c r="D175" i="3"/>
  <c r="C175" i="3"/>
  <c r="B175" i="3"/>
  <c r="D159" i="3"/>
  <c r="C159" i="3"/>
  <c r="B159" i="3"/>
  <c r="D602" i="3"/>
  <c r="C602" i="3"/>
  <c r="B602" i="3"/>
  <c r="D358" i="3"/>
  <c r="C358" i="3"/>
  <c r="B358" i="3"/>
  <c r="D997" i="3"/>
  <c r="C997" i="3"/>
  <c r="B997" i="3"/>
  <c r="I469" i="3"/>
  <c r="G469" i="3"/>
  <c r="F469" i="3"/>
  <c r="D469" i="3"/>
  <c r="C469" i="3"/>
  <c r="B469" i="3"/>
  <c r="D449" i="3"/>
  <c r="C449" i="3"/>
  <c r="B449" i="3"/>
  <c r="D297" i="3"/>
  <c r="C297" i="3"/>
  <c r="B297" i="3"/>
  <c r="D227" i="3"/>
  <c r="C227" i="3"/>
  <c r="B227" i="3"/>
  <c r="D604" i="3"/>
  <c r="C604" i="3"/>
  <c r="B604" i="3"/>
  <c r="D612" i="3"/>
  <c r="C612" i="3"/>
  <c r="B612" i="3"/>
  <c r="D87" i="3"/>
  <c r="C87" i="3"/>
  <c r="B87" i="3"/>
  <c r="D194" i="3"/>
  <c r="C194" i="3"/>
  <c r="B194" i="3"/>
  <c r="D54" i="3"/>
  <c r="C54" i="3"/>
  <c r="B54" i="3"/>
  <c r="D90" i="3"/>
  <c r="C90" i="3"/>
  <c r="B90" i="3"/>
  <c r="D430" i="3"/>
  <c r="C430" i="3"/>
  <c r="B430" i="3"/>
  <c r="I603" i="3"/>
  <c r="H603" i="3"/>
  <c r="G603" i="3"/>
  <c r="D603" i="3"/>
  <c r="C603" i="3"/>
  <c r="B603" i="3"/>
  <c r="I413" i="3"/>
  <c r="H413" i="3"/>
  <c r="G413" i="3"/>
  <c r="D413" i="3"/>
  <c r="C413" i="3"/>
  <c r="B413" i="3"/>
  <c r="D629" i="3"/>
  <c r="C629" i="3"/>
  <c r="B629" i="3"/>
  <c r="D609" i="3"/>
  <c r="C609" i="3"/>
  <c r="B609" i="3"/>
  <c r="D979" i="3"/>
  <c r="C979" i="3"/>
  <c r="B979" i="3"/>
  <c r="D203" i="3"/>
  <c r="C203" i="3"/>
  <c r="B203" i="3"/>
  <c r="D298" i="3"/>
  <c r="C298" i="3"/>
  <c r="B298" i="3"/>
  <c r="D45" i="3"/>
  <c r="C45" i="3"/>
  <c r="B45" i="3"/>
  <c r="D389" i="3"/>
  <c r="C389" i="3"/>
  <c r="B389" i="3"/>
  <c r="I611" i="3"/>
  <c r="H611" i="3"/>
  <c r="G611" i="3"/>
  <c r="D611" i="3"/>
  <c r="C611" i="3"/>
  <c r="B611" i="3"/>
  <c r="D622" i="3"/>
  <c r="C622" i="3"/>
  <c r="B622" i="3"/>
  <c r="D448" i="3"/>
  <c r="C448" i="3"/>
  <c r="B448" i="3"/>
  <c r="D554" i="3"/>
  <c r="C554" i="3"/>
  <c r="B554" i="3"/>
  <c r="D113" i="3"/>
  <c r="C113" i="3"/>
  <c r="B113" i="3"/>
  <c r="D200" i="3"/>
  <c r="C200" i="3"/>
  <c r="B200" i="3"/>
  <c r="I238" i="3"/>
  <c r="H238" i="3"/>
  <c r="G238" i="3"/>
  <c r="D238" i="3"/>
  <c r="C238" i="3"/>
  <c r="B238" i="3"/>
  <c r="D516" i="3"/>
  <c r="C516" i="3"/>
  <c r="B516" i="3"/>
  <c r="D451" i="3"/>
  <c r="C451" i="3"/>
  <c r="B451" i="3"/>
  <c r="D320" i="3"/>
  <c r="C320" i="3"/>
  <c r="B320" i="3"/>
  <c r="D183" i="3"/>
  <c r="C183" i="3"/>
  <c r="B183" i="3"/>
  <c r="D1003" i="3"/>
  <c r="C1003" i="3"/>
  <c r="B1003" i="3"/>
  <c r="D545" i="3"/>
  <c r="C545" i="3"/>
  <c r="B545" i="3"/>
  <c r="D329" i="3"/>
  <c r="C329" i="3"/>
  <c r="B329" i="3"/>
  <c r="D450" i="3"/>
  <c r="C450" i="3"/>
  <c r="B450" i="3"/>
  <c r="D556" i="3"/>
  <c r="C556" i="3"/>
  <c r="B556" i="3"/>
  <c r="D586" i="3"/>
  <c r="C586" i="3"/>
  <c r="B586" i="3"/>
  <c r="D346" i="3"/>
  <c r="C346" i="3"/>
  <c r="B346" i="3"/>
  <c r="D637" i="3"/>
  <c r="C637" i="3"/>
  <c r="B637" i="3"/>
  <c r="D74" i="3"/>
  <c r="C74" i="3"/>
  <c r="B74" i="3"/>
  <c r="D37" i="3"/>
  <c r="C37" i="3"/>
  <c r="B37" i="3"/>
  <c r="D636" i="3"/>
  <c r="C636" i="3"/>
  <c r="B636" i="3"/>
  <c r="D36" i="3"/>
  <c r="C36" i="3"/>
  <c r="B36" i="3"/>
  <c r="D27" i="3"/>
  <c r="C27" i="3"/>
  <c r="B27" i="3"/>
  <c r="D28" i="3"/>
  <c r="C28" i="3"/>
  <c r="B28" i="3"/>
  <c r="D632" i="3"/>
  <c r="C632" i="3"/>
  <c r="B632" i="3"/>
  <c r="D631" i="3"/>
  <c r="C631" i="3"/>
  <c r="B631" i="3"/>
  <c r="D973" i="3"/>
  <c r="C973" i="3"/>
  <c r="B973" i="3"/>
  <c r="D641" i="3"/>
  <c r="C641" i="3"/>
  <c r="B641" i="3"/>
  <c r="D115" i="3"/>
  <c r="C115" i="3"/>
  <c r="B115" i="3"/>
  <c r="I580" i="3"/>
  <c r="H580" i="3"/>
  <c r="G580" i="3"/>
  <c r="D580" i="3"/>
  <c r="C580" i="3"/>
  <c r="B580" i="3"/>
  <c r="D1021" i="3"/>
  <c r="C1021" i="3"/>
  <c r="B1021" i="3"/>
  <c r="D458" i="3"/>
  <c r="C458" i="3"/>
  <c r="B458" i="3"/>
  <c r="D134" i="3"/>
  <c r="C134" i="3"/>
  <c r="B134" i="3"/>
  <c r="D600" i="3"/>
  <c r="C600" i="3"/>
  <c r="B600" i="3"/>
  <c r="D996" i="3"/>
  <c r="C996" i="3"/>
  <c r="B996" i="3"/>
  <c r="D222" i="3"/>
  <c r="C222" i="3"/>
  <c r="B222" i="3"/>
  <c r="D65" i="3"/>
  <c r="C65" i="3"/>
  <c r="B65" i="3"/>
  <c r="D109" i="3"/>
  <c r="C109" i="3"/>
  <c r="B109" i="3"/>
  <c r="D1023" i="3"/>
  <c r="C1023" i="3"/>
  <c r="B1023" i="3"/>
  <c r="I651" i="3"/>
  <c r="H651" i="3"/>
  <c r="G651" i="3"/>
  <c r="D651" i="3"/>
  <c r="C651" i="3"/>
  <c r="B651" i="3"/>
  <c r="I423" i="3"/>
  <c r="H423" i="3"/>
  <c r="G423" i="3"/>
  <c r="D423" i="3"/>
  <c r="C423" i="3"/>
  <c r="B423" i="3"/>
  <c r="D172" i="3"/>
  <c r="C172" i="3"/>
  <c r="B172" i="3"/>
  <c r="D575" i="3"/>
  <c r="C575" i="3"/>
  <c r="B575" i="3"/>
  <c r="D1053" i="3"/>
  <c r="C1053" i="3"/>
  <c r="B1053" i="3"/>
  <c r="D255" i="3"/>
  <c r="C255" i="3"/>
  <c r="B255" i="3"/>
  <c r="D635" i="3"/>
  <c r="C635" i="3"/>
  <c r="B635" i="3"/>
  <c r="D18" i="3"/>
  <c r="C18" i="3"/>
  <c r="B18" i="3"/>
  <c r="D19" i="3"/>
  <c r="C19" i="3"/>
  <c r="B19" i="3"/>
  <c r="D356" i="3"/>
  <c r="C356" i="3"/>
  <c r="B356" i="3"/>
  <c r="D683" i="3"/>
  <c r="C683" i="3"/>
  <c r="B683" i="3"/>
  <c r="D555" i="3"/>
  <c r="C555" i="3"/>
  <c r="B555" i="3"/>
  <c r="D433" i="3"/>
  <c r="C433" i="3"/>
  <c r="B433" i="3"/>
  <c r="D1189" i="3"/>
  <c r="C1189" i="3"/>
  <c r="B1189" i="3"/>
  <c r="D1178" i="3"/>
  <c r="C1178" i="3"/>
  <c r="B1178" i="3"/>
  <c r="D986" i="3"/>
  <c r="C986" i="3"/>
  <c r="B986" i="3"/>
  <c r="D606" i="3"/>
  <c r="C606" i="3"/>
  <c r="B606" i="3"/>
  <c r="D5" i="3"/>
  <c r="C5" i="3"/>
  <c r="B5" i="3"/>
  <c r="D573" i="3"/>
  <c r="C573" i="3"/>
  <c r="B573" i="3"/>
  <c r="D680" i="3"/>
  <c r="C680" i="3"/>
  <c r="B680" i="3"/>
  <c r="D50" i="3"/>
  <c r="C50" i="3"/>
  <c r="B50" i="3"/>
  <c r="D551" i="3"/>
  <c r="C551" i="3"/>
  <c r="B551" i="3"/>
  <c r="D1051" i="3"/>
  <c r="C1051" i="3"/>
  <c r="B1051" i="3"/>
  <c r="D613" i="3"/>
  <c r="C613" i="3"/>
  <c r="B613" i="3"/>
  <c r="D987" i="3"/>
  <c r="C987" i="3"/>
  <c r="B987" i="3"/>
  <c r="D1000" i="3"/>
  <c r="C1000" i="3"/>
  <c r="B1000" i="3"/>
  <c r="D510" i="3"/>
  <c r="C510" i="3"/>
  <c r="B510" i="3"/>
  <c r="D464" i="3"/>
  <c r="C464" i="3"/>
  <c r="B464" i="3"/>
  <c r="D59" i="3"/>
  <c r="C59" i="3"/>
  <c r="B59" i="3"/>
  <c r="D962" i="3"/>
  <c r="C962" i="3"/>
  <c r="B962" i="3"/>
  <c r="D208" i="3"/>
  <c r="C208" i="3"/>
  <c r="B208" i="3"/>
  <c r="D243" i="3"/>
  <c r="C243" i="3"/>
  <c r="B243" i="3"/>
  <c r="D627" i="3"/>
  <c r="C627" i="3"/>
  <c r="B627" i="3"/>
  <c r="D993" i="3"/>
  <c r="C993" i="3"/>
  <c r="B993" i="3"/>
  <c r="D628" i="3"/>
  <c r="C628" i="3"/>
  <c r="B628" i="3"/>
  <c r="D596" i="3"/>
  <c r="C596" i="3"/>
  <c r="B596" i="3"/>
  <c r="D324" i="3"/>
  <c r="C324" i="3"/>
  <c r="B324" i="3"/>
  <c r="D310" i="3"/>
  <c r="C310" i="3"/>
  <c r="B310" i="3"/>
  <c r="D1010" i="3"/>
  <c r="C1010" i="3"/>
  <c r="B1010" i="3"/>
  <c r="D983" i="3"/>
  <c r="C983" i="3"/>
  <c r="B983" i="3"/>
  <c r="D1014" i="3"/>
  <c r="C1014" i="3"/>
  <c r="B1014" i="3"/>
  <c r="D1182" i="3"/>
  <c r="C1182" i="3"/>
  <c r="B1182" i="3"/>
  <c r="D688" i="3"/>
  <c r="C688" i="3"/>
  <c r="B688" i="3"/>
  <c r="D994" i="3"/>
  <c r="C994" i="3"/>
  <c r="B994" i="3"/>
  <c r="D1018" i="3"/>
  <c r="C1018" i="3"/>
  <c r="B1018" i="3"/>
  <c r="D961" i="3"/>
  <c r="C961" i="3"/>
  <c r="B961" i="3"/>
  <c r="D1019" i="3"/>
  <c r="C1019" i="3"/>
  <c r="B1019" i="3"/>
  <c r="D1001" i="3"/>
  <c r="C1001" i="3"/>
  <c r="B1001" i="3"/>
  <c r="D984" i="3"/>
  <c r="C984" i="3"/>
  <c r="B984" i="3"/>
  <c r="D988" i="3"/>
  <c r="C988" i="3"/>
  <c r="B988" i="3"/>
  <c r="I8" i="3"/>
  <c r="H8" i="3"/>
  <c r="G8" i="3"/>
  <c r="D8" i="3"/>
  <c r="C8" i="3"/>
  <c r="B8" i="3"/>
  <c r="D598" i="3"/>
  <c r="C598" i="3"/>
  <c r="B598" i="3"/>
  <c r="D1006" i="3"/>
  <c r="C1006" i="3"/>
  <c r="B1006" i="3"/>
  <c r="D1005" i="3"/>
  <c r="C1005" i="3"/>
  <c r="B1005" i="3"/>
  <c r="D981" i="3"/>
  <c r="C981" i="3"/>
  <c r="B981" i="3"/>
  <c r="D974" i="3"/>
  <c r="C974" i="3"/>
  <c r="B974" i="3"/>
  <c r="D998" i="3"/>
  <c r="C998" i="3"/>
  <c r="B998" i="3"/>
  <c r="I610" i="3"/>
  <c r="H610" i="3"/>
  <c r="G610" i="3"/>
  <c r="D610" i="3"/>
  <c r="C610" i="3"/>
  <c r="B610" i="3"/>
  <c r="D623" i="3"/>
  <c r="C623" i="3"/>
  <c r="B623" i="3"/>
  <c r="D958" i="3"/>
  <c r="C958" i="3"/>
  <c r="B958" i="3"/>
  <c r="D959" i="3"/>
  <c r="C959" i="3"/>
  <c r="B959" i="3"/>
  <c r="D43" i="3"/>
  <c r="C43" i="3"/>
  <c r="B43" i="3"/>
  <c r="D964" i="3"/>
  <c r="C964" i="3"/>
  <c r="B964" i="3"/>
  <c r="D150" i="3"/>
  <c r="C150" i="3"/>
  <c r="B150" i="3"/>
  <c r="D424" i="3"/>
  <c r="C424" i="3"/>
  <c r="B424" i="3"/>
  <c r="D139" i="3"/>
  <c r="C139" i="3"/>
  <c r="B139" i="3"/>
  <c r="D985" i="3"/>
  <c r="C985" i="3"/>
  <c r="B985" i="3"/>
  <c r="D118" i="3"/>
  <c r="C118" i="3"/>
  <c r="B118" i="3"/>
  <c r="D978" i="3"/>
  <c r="C978" i="3"/>
  <c r="B978" i="3"/>
  <c r="D975" i="3"/>
  <c r="C975" i="3"/>
  <c r="B975" i="3"/>
  <c r="D308" i="3"/>
  <c r="C308" i="3"/>
  <c r="B308" i="3"/>
  <c r="D92" i="3"/>
  <c r="C92" i="3"/>
  <c r="B92" i="3"/>
  <c r="D294" i="3"/>
  <c r="C294" i="3"/>
  <c r="B294" i="3"/>
  <c r="D293" i="3"/>
  <c r="C293" i="3"/>
  <c r="B293" i="3"/>
  <c r="D599" i="3"/>
  <c r="C599" i="3"/>
  <c r="B599" i="3"/>
  <c r="I253" i="3"/>
  <c r="H253" i="3"/>
  <c r="G253" i="3"/>
  <c r="D253" i="3"/>
  <c r="C253" i="3"/>
  <c r="B253" i="3"/>
  <c r="D284" i="3"/>
  <c r="C284" i="3"/>
  <c r="B284" i="3"/>
  <c r="D371" i="3"/>
  <c r="C371" i="3"/>
  <c r="B371" i="3"/>
  <c r="D138" i="3"/>
  <c r="C138" i="3"/>
  <c r="B138" i="3"/>
  <c r="I366" i="3"/>
  <c r="H366" i="3"/>
  <c r="G366" i="3"/>
  <c r="D366" i="3"/>
  <c r="C366" i="3"/>
  <c r="B366" i="3"/>
  <c r="D334" i="3"/>
  <c r="C334" i="3"/>
  <c r="B334" i="3"/>
  <c r="D357" i="3"/>
  <c r="C357" i="3"/>
  <c r="B357" i="3"/>
  <c r="D375" i="3"/>
  <c r="C375" i="3"/>
  <c r="B375" i="3"/>
  <c r="D588" i="3"/>
  <c r="C588" i="3"/>
  <c r="B588" i="3"/>
  <c r="D319" i="3"/>
  <c r="C319" i="3"/>
  <c r="B319" i="3"/>
  <c r="D1048" i="3"/>
  <c r="C1048" i="3"/>
  <c r="B1048" i="3"/>
  <c r="D311" i="3"/>
  <c r="C311" i="3"/>
  <c r="B311" i="3"/>
  <c r="D137" i="3"/>
  <c r="C137" i="3"/>
  <c r="B137" i="3"/>
  <c r="D198" i="3"/>
  <c r="C198" i="3"/>
  <c r="B198" i="3"/>
  <c r="D204" i="3"/>
  <c r="C204" i="3"/>
  <c r="B204" i="3"/>
  <c r="D338" i="3"/>
  <c r="C338" i="3"/>
  <c r="B338" i="3"/>
  <c r="D372" i="3"/>
  <c r="C372" i="3"/>
  <c r="B372" i="3"/>
  <c r="D178" i="3"/>
  <c r="C178" i="3"/>
  <c r="B178" i="3"/>
  <c r="D199" i="3"/>
  <c r="C199" i="3"/>
  <c r="B199" i="3"/>
  <c r="D181" i="3"/>
  <c r="C181" i="3"/>
  <c r="B181" i="3"/>
  <c r="D960" i="3"/>
  <c r="C960" i="3"/>
  <c r="B960" i="3"/>
  <c r="D141" i="3"/>
  <c r="C141" i="3"/>
  <c r="B141" i="3"/>
  <c r="D11" i="3"/>
  <c r="C11" i="3"/>
  <c r="B11" i="3"/>
  <c r="D245" i="3"/>
  <c r="C245" i="3"/>
  <c r="B245" i="3"/>
  <c r="D991" i="3"/>
  <c r="C991" i="3"/>
  <c r="B991" i="3"/>
  <c r="D33" i="3"/>
  <c r="C33" i="3"/>
  <c r="B33" i="3"/>
  <c r="D94" i="3"/>
  <c r="C94" i="3"/>
  <c r="B94" i="3"/>
  <c r="I68" i="3"/>
  <c r="H68" i="3"/>
  <c r="G68" i="3"/>
  <c r="D68" i="3"/>
  <c r="C68" i="3"/>
  <c r="B68" i="3"/>
  <c r="D374" i="3"/>
  <c r="C374" i="3"/>
  <c r="B374" i="3"/>
  <c r="D393" i="3"/>
  <c r="C393" i="3"/>
  <c r="B393" i="3"/>
  <c r="D148" i="3"/>
  <c r="C148" i="3"/>
  <c r="B148" i="3"/>
  <c r="I502" i="3"/>
  <c r="G502" i="3"/>
  <c r="D502" i="3"/>
  <c r="C502" i="3"/>
  <c r="B502" i="3"/>
  <c r="D494" i="3"/>
  <c r="C494" i="3"/>
  <c r="B494" i="3"/>
  <c r="D354" i="3"/>
  <c r="C354" i="3"/>
  <c r="B354" i="3"/>
  <c r="D498" i="3"/>
  <c r="C498" i="3"/>
  <c r="B498" i="3"/>
  <c r="D585" i="3"/>
  <c r="C585" i="3"/>
  <c r="B585" i="3"/>
  <c r="D1007" i="3"/>
  <c r="C1007" i="3"/>
  <c r="B1007" i="3"/>
  <c r="D344" i="3"/>
  <c r="C344" i="3"/>
  <c r="B344" i="3"/>
  <c r="D81" i="3"/>
  <c r="C81" i="3"/>
  <c r="B81" i="3"/>
  <c r="D491" i="3"/>
  <c r="C491" i="3"/>
  <c r="B491" i="3"/>
  <c r="D1011" i="3"/>
  <c r="C1011" i="3"/>
  <c r="B1011" i="3"/>
  <c r="D111" i="3"/>
  <c r="C111" i="3"/>
  <c r="B111" i="3"/>
  <c r="D340" i="3"/>
  <c r="C340" i="3"/>
  <c r="B340" i="3"/>
  <c r="D260" i="3"/>
  <c r="C260" i="3"/>
  <c r="B260" i="3"/>
  <c r="D566" i="3"/>
  <c r="C566" i="3"/>
  <c r="B566" i="3"/>
  <c r="D527" i="3"/>
  <c r="C527" i="3"/>
  <c r="B527" i="3"/>
  <c r="D533" i="3"/>
  <c r="C533" i="3"/>
  <c r="B533" i="3"/>
  <c r="D187" i="3"/>
  <c r="C187" i="3"/>
  <c r="B187" i="3"/>
  <c r="D39" i="3"/>
  <c r="C39" i="3"/>
  <c r="B39" i="3"/>
  <c r="D453" i="3"/>
  <c r="C453" i="3"/>
  <c r="B453" i="3"/>
  <c r="D56" i="3"/>
  <c r="C56" i="3"/>
  <c r="B56" i="3"/>
  <c r="F682" i="3"/>
  <c r="D682" i="3"/>
  <c r="C682" i="3"/>
  <c r="B682" i="3"/>
  <c r="D569" i="3"/>
  <c r="C569" i="3"/>
  <c r="B569" i="3"/>
  <c r="D89" i="3"/>
  <c r="C89" i="3"/>
  <c r="B89" i="3"/>
  <c r="D349" i="3"/>
  <c r="C349" i="3"/>
  <c r="B349" i="3"/>
  <c r="D205" i="3"/>
  <c r="C205" i="3"/>
  <c r="B205" i="3"/>
  <c r="I559" i="3"/>
  <c r="G559" i="3"/>
  <c r="D559" i="3"/>
  <c r="C559" i="3"/>
  <c r="B559" i="3"/>
  <c r="D553" i="3"/>
  <c r="C553" i="3"/>
  <c r="B553" i="3"/>
  <c r="D69" i="3"/>
  <c r="C69" i="3"/>
  <c r="B69" i="3"/>
  <c r="D396" i="3"/>
  <c r="C396" i="3"/>
  <c r="B396" i="3"/>
  <c r="D57" i="3"/>
  <c r="C57" i="3"/>
  <c r="B57" i="3"/>
  <c r="D47" i="3"/>
  <c r="C47" i="3"/>
  <c r="B47" i="3"/>
  <c r="D614" i="3"/>
  <c r="C614" i="3"/>
  <c r="B614" i="3"/>
  <c r="D166" i="3"/>
  <c r="C166" i="3"/>
  <c r="B166" i="3"/>
  <c r="D1040" i="3"/>
  <c r="C1040" i="3"/>
  <c r="B1040" i="3"/>
  <c r="D364" i="3"/>
  <c r="C364" i="3"/>
  <c r="B364" i="3"/>
  <c r="D116" i="3"/>
  <c r="C116" i="3"/>
  <c r="B116" i="3"/>
  <c r="D425" i="3"/>
  <c r="C425" i="3"/>
  <c r="B425" i="3"/>
  <c r="D100" i="3"/>
  <c r="C100" i="3"/>
  <c r="B100" i="3"/>
  <c r="D446" i="3"/>
  <c r="C446" i="3"/>
  <c r="B446" i="3"/>
  <c r="D447" i="3"/>
  <c r="C447" i="3"/>
  <c r="B447" i="3"/>
  <c r="D184" i="3"/>
  <c r="C184" i="3"/>
  <c r="B184" i="3"/>
  <c r="D270" i="3"/>
  <c r="C270" i="3"/>
  <c r="B270" i="3"/>
  <c r="D365" i="3"/>
  <c r="C365" i="3"/>
  <c r="B365" i="3"/>
  <c r="D186" i="3"/>
  <c r="C186" i="3"/>
  <c r="B186" i="3"/>
  <c r="D574" i="3"/>
  <c r="C574" i="3"/>
  <c r="B574" i="3"/>
  <c r="I82" i="3"/>
  <c r="H82" i="3"/>
  <c r="G82" i="3"/>
  <c r="D82" i="3"/>
  <c r="C82" i="3"/>
  <c r="B82" i="3"/>
  <c r="D896" i="3"/>
  <c r="C896" i="3"/>
  <c r="B896" i="3"/>
  <c r="I231" i="3"/>
  <c r="G231" i="3"/>
  <c r="D231" i="3"/>
  <c r="C231" i="3"/>
  <c r="B231" i="3"/>
  <c r="D35" i="3"/>
  <c r="C35" i="3"/>
  <c r="B35" i="3"/>
  <c r="D562" i="3"/>
  <c r="C562" i="3"/>
  <c r="B562" i="3"/>
  <c r="D244" i="3"/>
  <c r="C244" i="3"/>
  <c r="B244" i="3"/>
  <c r="D230" i="3"/>
  <c r="C230" i="3"/>
  <c r="B230" i="3"/>
  <c r="D51" i="3"/>
  <c r="C51" i="3"/>
  <c r="B51" i="3"/>
  <c r="D78" i="3"/>
  <c r="C78" i="3"/>
  <c r="B78" i="3"/>
  <c r="D77" i="3"/>
  <c r="C77" i="3"/>
  <c r="B77" i="3"/>
  <c r="D53" i="3"/>
  <c r="C53" i="3"/>
  <c r="B53" i="3"/>
  <c r="D296" i="3"/>
  <c r="C296" i="3"/>
  <c r="B296" i="3"/>
  <c r="D971" i="3"/>
  <c r="C971" i="3"/>
  <c r="B971" i="3"/>
  <c r="D690" i="3"/>
  <c r="C690" i="3"/>
  <c r="B690" i="3"/>
  <c r="D300" i="3"/>
  <c r="C300" i="3"/>
  <c r="B300" i="3"/>
  <c r="D226" i="3"/>
  <c r="C226" i="3"/>
  <c r="B226" i="3"/>
  <c r="D223" i="3"/>
  <c r="C223" i="3"/>
  <c r="B223" i="3"/>
  <c r="D1050" i="3"/>
  <c r="C1050" i="3"/>
  <c r="B1050" i="3"/>
  <c r="D568" i="3"/>
  <c r="C568" i="3"/>
  <c r="B568" i="3"/>
  <c r="D40" i="3"/>
  <c r="C40" i="3"/>
  <c r="B40" i="3"/>
  <c r="D565" i="3"/>
  <c r="C565" i="3"/>
  <c r="B565" i="3"/>
  <c r="AT1204" i="1" l="1"/>
  <c r="AS1204" i="1"/>
  <c r="AK1204" i="1"/>
  <c r="AG1204" i="1"/>
  <c r="AF1204" i="1"/>
  <c r="AE1204" i="1"/>
  <c r="AC1204" i="1"/>
  <c r="AA1204" i="1"/>
  <c r="Z1204" i="1"/>
  <c r="Y1204" i="1"/>
  <c r="W1204" i="1"/>
  <c r="O1204" i="1"/>
  <c r="N1204" i="1"/>
  <c r="M1204" i="1"/>
  <c r="L1204" i="1"/>
  <c r="K1204" i="1"/>
  <c r="J1204" i="1"/>
  <c r="I1204" i="1"/>
  <c r="H1204" i="1"/>
  <c r="F1204" i="1"/>
  <c r="E1204" i="1"/>
  <c r="D1204" i="1"/>
  <c r="C1204" i="1"/>
  <c r="B1204" i="1"/>
  <c r="AT1203" i="1"/>
  <c r="AS1203" i="1"/>
  <c r="AK1203" i="1"/>
  <c r="AG1203" i="1"/>
  <c r="AF1203" i="1"/>
  <c r="AE1203" i="1"/>
  <c r="AC1203" i="1"/>
  <c r="AA1203" i="1"/>
  <c r="Z1203" i="1"/>
  <c r="Y1203" i="1"/>
  <c r="W1203" i="1"/>
  <c r="O1203" i="1"/>
  <c r="N1203" i="1"/>
  <c r="M1203" i="1"/>
  <c r="L1203" i="1"/>
  <c r="K1203" i="1"/>
  <c r="J1203" i="1"/>
  <c r="I1203" i="1"/>
  <c r="H1203" i="1"/>
  <c r="F1203" i="1"/>
  <c r="E1203" i="1"/>
  <c r="D1203" i="1"/>
  <c r="C1203" i="1"/>
  <c r="B1203" i="1"/>
  <c r="AT1202" i="1"/>
  <c r="AS1202" i="1"/>
  <c r="AK1202" i="1"/>
  <c r="AG1202" i="1"/>
  <c r="AF1202" i="1"/>
  <c r="AE1202" i="1"/>
  <c r="AC1202" i="1"/>
  <c r="AA1202" i="1"/>
  <c r="Z1202" i="1"/>
  <c r="Y1202" i="1"/>
  <c r="W1202" i="1"/>
  <c r="U1202" i="1"/>
  <c r="T1202" i="1"/>
  <c r="S1202" i="1"/>
  <c r="O1202" i="1"/>
  <c r="N1202" i="1"/>
  <c r="M1202" i="1"/>
  <c r="L1202" i="1"/>
  <c r="K1202" i="1"/>
  <c r="J1202" i="1"/>
  <c r="I1202" i="1"/>
  <c r="H1202" i="1"/>
  <c r="F1202" i="1"/>
  <c r="E1202" i="1"/>
  <c r="D1202" i="1"/>
  <c r="C1202" i="1"/>
  <c r="B1202" i="1"/>
  <c r="AT1201" i="1"/>
  <c r="AS1201" i="1"/>
  <c r="AK1201" i="1"/>
  <c r="AG1201" i="1"/>
  <c r="AF1201" i="1"/>
  <c r="AE1201" i="1"/>
  <c r="AC1201" i="1"/>
  <c r="AA1201" i="1"/>
  <c r="Z1201" i="1"/>
  <c r="Y1201" i="1"/>
  <c r="W1201" i="1"/>
  <c r="O1201" i="1"/>
  <c r="N1201" i="1"/>
  <c r="M1201" i="1"/>
  <c r="L1201" i="1"/>
  <c r="K1201" i="1"/>
  <c r="J1201" i="1"/>
  <c r="I1201" i="1"/>
  <c r="H1201" i="1"/>
  <c r="G1201" i="1"/>
  <c r="F1201" i="1"/>
  <c r="E1201" i="1"/>
  <c r="D1201" i="1"/>
  <c r="C1201" i="1"/>
  <c r="B1201" i="1"/>
  <c r="AT1200" i="1"/>
  <c r="AS1200" i="1"/>
  <c r="AK1200" i="1"/>
  <c r="AG1200" i="1"/>
  <c r="AF1200" i="1"/>
  <c r="AE1200" i="1"/>
  <c r="AC1200" i="1"/>
  <c r="AA1200" i="1"/>
  <c r="Z1200" i="1"/>
  <c r="Y1200" i="1"/>
  <c r="W1200" i="1"/>
  <c r="O1200" i="1"/>
  <c r="N1200" i="1"/>
  <c r="M1200" i="1"/>
  <c r="L1200" i="1"/>
  <c r="K1200" i="1"/>
  <c r="J1200" i="1"/>
  <c r="I1200" i="1"/>
  <c r="H1200" i="1"/>
  <c r="F1200" i="1"/>
  <c r="E1200" i="1"/>
  <c r="D1200" i="1"/>
  <c r="C1200" i="1"/>
  <c r="B1200" i="1"/>
  <c r="AT1199" i="1"/>
  <c r="AS1199" i="1"/>
  <c r="AK1199" i="1"/>
  <c r="AG1199" i="1"/>
  <c r="AF1199" i="1"/>
  <c r="AE1199" i="1"/>
  <c r="AC1199" i="1"/>
  <c r="AA1199" i="1"/>
  <c r="Z1199" i="1"/>
  <c r="Y1199" i="1"/>
  <c r="W1199" i="1"/>
  <c r="O1199" i="1"/>
  <c r="N1199" i="1"/>
  <c r="M1199" i="1"/>
  <c r="L1199" i="1"/>
  <c r="K1199" i="1"/>
  <c r="J1199" i="1"/>
  <c r="I1199" i="1"/>
  <c r="H1199" i="1"/>
  <c r="G1199" i="1"/>
  <c r="F1199" i="1"/>
  <c r="E1199" i="1"/>
  <c r="D1199" i="1"/>
  <c r="C1199" i="1"/>
  <c r="B1199" i="1"/>
  <c r="AT1198" i="1"/>
  <c r="AS1198" i="1"/>
  <c r="AK1198" i="1"/>
  <c r="AG1198" i="1"/>
  <c r="AF1198" i="1"/>
  <c r="AE1198" i="1"/>
  <c r="AC1198" i="1"/>
  <c r="AA1198" i="1"/>
  <c r="Z1198" i="1"/>
  <c r="Y1198" i="1"/>
  <c r="W1198" i="1"/>
  <c r="O1198" i="1"/>
  <c r="N1198" i="1"/>
  <c r="M1198" i="1"/>
  <c r="L1198" i="1"/>
  <c r="K1198" i="1"/>
  <c r="J1198" i="1"/>
  <c r="I1198" i="1"/>
  <c r="H1198" i="1"/>
  <c r="F1198" i="1"/>
  <c r="E1198" i="1"/>
  <c r="D1198" i="1"/>
  <c r="C1198" i="1"/>
  <c r="B1198" i="1"/>
  <c r="AT1197" i="1"/>
  <c r="AS1197" i="1"/>
  <c r="AK1197" i="1"/>
  <c r="AG1197" i="1"/>
  <c r="AF1197" i="1"/>
  <c r="AE1197" i="1"/>
  <c r="AC1197" i="1"/>
  <c r="AA1197" i="1"/>
  <c r="Z1197" i="1"/>
  <c r="Y1197" i="1"/>
  <c r="W1197" i="1"/>
  <c r="O1197" i="1"/>
  <c r="N1197" i="1"/>
  <c r="M1197" i="1"/>
  <c r="L1197" i="1"/>
  <c r="K1197" i="1"/>
  <c r="J1197" i="1"/>
  <c r="I1197" i="1"/>
  <c r="H1197" i="1"/>
  <c r="F1197" i="1"/>
  <c r="E1197" i="1"/>
  <c r="D1197" i="1"/>
  <c r="C1197" i="1"/>
  <c r="B1197" i="1"/>
  <c r="AT1196" i="1"/>
  <c r="AS1196" i="1"/>
  <c r="AK1196" i="1"/>
  <c r="AG1196" i="1"/>
  <c r="AF1196" i="1"/>
  <c r="AE1196" i="1"/>
  <c r="AC1196" i="1"/>
  <c r="AA1196" i="1"/>
  <c r="Z1196" i="1"/>
  <c r="Y1196" i="1"/>
  <c r="W1196" i="1"/>
  <c r="O1196" i="1"/>
  <c r="N1196" i="1"/>
  <c r="M1196" i="1"/>
  <c r="L1196" i="1"/>
  <c r="K1196" i="1"/>
  <c r="J1196" i="1"/>
  <c r="I1196" i="1"/>
  <c r="H1196" i="1"/>
  <c r="G1196" i="1"/>
  <c r="F1196" i="1"/>
  <c r="E1196" i="1"/>
  <c r="D1196" i="1"/>
  <c r="C1196" i="1"/>
  <c r="B1196" i="1"/>
  <c r="AT1195" i="1"/>
  <c r="AS1195" i="1"/>
  <c r="AK1195" i="1"/>
  <c r="AG1195" i="1"/>
  <c r="AF1195" i="1"/>
  <c r="AE1195" i="1"/>
  <c r="AC1195" i="1"/>
  <c r="AA1195" i="1"/>
  <c r="Z1195" i="1"/>
  <c r="Y1195" i="1"/>
  <c r="W1195" i="1"/>
  <c r="O1195" i="1"/>
  <c r="N1195" i="1"/>
  <c r="M1195" i="1"/>
  <c r="L1195" i="1"/>
  <c r="K1195" i="1"/>
  <c r="J1195" i="1"/>
  <c r="I1195" i="1"/>
  <c r="H1195" i="1"/>
  <c r="G1195" i="1"/>
  <c r="F1195" i="1"/>
  <c r="E1195" i="1"/>
  <c r="D1195" i="1"/>
  <c r="C1195" i="1"/>
  <c r="B1195" i="1"/>
  <c r="AT1194" i="1"/>
  <c r="AS1194" i="1"/>
  <c r="AK1194" i="1"/>
  <c r="AG1194" i="1"/>
  <c r="AF1194" i="1"/>
  <c r="AE1194" i="1"/>
  <c r="AC1194" i="1"/>
  <c r="AA1194" i="1"/>
  <c r="Z1194" i="1"/>
  <c r="Y1194" i="1"/>
  <c r="W1194" i="1"/>
  <c r="U1194" i="1"/>
  <c r="T1194" i="1"/>
  <c r="S1194" i="1"/>
  <c r="O1194" i="1"/>
  <c r="N1194" i="1"/>
  <c r="M1194" i="1"/>
  <c r="L1194" i="1"/>
  <c r="K1194" i="1"/>
  <c r="J1194" i="1"/>
  <c r="I1194" i="1"/>
  <c r="H1194" i="1"/>
  <c r="F1194" i="1"/>
  <c r="E1194" i="1"/>
  <c r="D1194" i="1"/>
  <c r="C1194" i="1"/>
  <c r="B1194" i="1"/>
  <c r="AT1193" i="1"/>
  <c r="AS1193" i="1"/>
  <c r="AK1193" i="1"/>
  <c r="AG1193" i="1"/>
  <c r="AF1193" i="1"/>
  <c r="AE1193" i="1"/>
  <c r="AC1193" i="1"/>
  <c r="AA1193" i="1"/>
  <c r="Z1193" i="1"/>
  <c r="Y1193" i="1"/>
  <c r="W1193" i="1"/>
  <c r="U1193" i="1"/>
  <c r="T1193" i="1"/>
  <c r="S1193" i="1"/>
  <c r="O1193" i="1"/>
  <c r="N1193" i="1"/>
  <c r="M1193" i="1"/>
  <c r="L1193" i="1"/>
  <c r="K1193" i="1"/>
  <c r="J1193" i="1"/>
  <c r="I1193" i="1"/>
  <c r="H1193" i="1"/>
  <c r="F1193" i="1"/>
  <c r="E1193" i="1"/>
  <c r="D1193" i="1"/>
  <c r="C1193" i="1"/>
  <c r="B1193" i="1"/>
  <c r="AT1192" i="1"/>
  <c r="AS1192" i="1"/>
  <c r="AK1192" i="1"/>
  <c r="AG1192" i="1"/>
  <c r="AF1192" i="1"/>
  <c r="AE1192" i="1"/>
  <c r="AC1192" i="1"/>
  <c r="AA1192" i="1"/>
  <c r="Z1192" i="1"/>
  <c r="Y1192" i="1"/>
  <c r="W1192" i="1"/>
  <c r="O1192" i="1"/>
  <c r="N1192" i="1"/>
  <c r="M1192" i="1"/>
  <c r="L1192" i="1"/>
  <c r="K1192" i="1"/>
  <c r="J1192" i="1"/>
  <c r="I1192" i="1"/>
  <c r="H1192" i="1"/>
  <c r="G1192" i="1"/>
  <c r="F1192" i="1"/>
  <c r="E1192" i="1"/>
  <c r="D1192" i="1"/>
  <c r="C1192" i="1"/>
  <c r="B1192" i="1"/>
  <c r="AT1191" i="1"/>
  <c r="AS1191" i="1"/>
  <c r="AK1191" i="1"/>
  <c r="AG1191" i="1"/>
  <c r="AF1191" i="1"/>
  <c r="AE1191" i="1"/>
  <c r="AC1191" i="1"/>
  <c r="AA1191" i="1"/>
  <c r="Z1191" i="1"/>
  <c r="Y1191" i="1"/>
  <c r="W1191" i="1"/>
  <c r="O1191" i="1"/>
  <c r="N1191" i="1"/>
  <c r="M1191" i="1"/>
  <c r="L1191" i="1"/>
  <c r="K1191" i="1"/>
  <c r="J1191" i="1"/>
  <c r="I1191" i="1"/>
  <c r="H1191" i="1"/>
  <c r="G1191" i="1"/>
  <c r="F1191" i="1"/>
  <c r="E1191" i="1"/>
  <c r="D1191" i="1"/>
  <c r="C1191" i="1"/>
  <c r="B1191" i="1"/>
  <c r="AT1190" i="1"/>
  <c r="AS1190" i="1"/>
  <c r="AK1190" i="1"/>
  <c r="AG1190" i="1"/>
  <c r="AF1190" i="1"/>
  <c r="AE1190" i="1"/>
  <c r="AC1190" i="1"/>
  <c r="AA1190" i="1"/>
  <c r="Z1190" i="1"/>
  <c r="Y1190" i="1"/>
  <c r="W1190" i="1"/>
  <c r="O1190" i="1"/>
  <c r="N1190" i="1"/>
  <c r="M1190" i="1"/>
  <c r="L1190" i="1"/>
  <c r="K1190" i="1"/>
  <c r="J1190" i="1"/>
  <c r="I1190" i="1"/>
  <c r="H1190" i="1"/>
  <c r="G1190" i="1"/>
  <c r="F1190" i="1"/>
  <c r="E1190" i="1"/>
  <c r="D1190" i="1"/>
  <c r="C1190" i="1"/>
  <c r="B1190" i="1"/>
  <c r="AT1189" i="1"/>
  <c r="AS1189" i="1"/>
  <c r="AK1189" i="1"/>
  <c r="AG1189" i="1"/>
  <c r="AF1189" i="1"/>
  <c r="AE1189" i="1"/>
  <c r="AC1189" i="1"/>
  <c r="AA1189" i="1"/>
  <c r="Z1189" i="1"/>
  <c r="Y1189" i="1"/>
  <c r="W1189" i="1"/>
  <c r="O1189" i="1"/>
  <c r="N1189" i="1"/>
  <c r="M1189" i="1"/>
  <c r="L1189" i="1"/>
  <c r="K1189" i="1"/>
  <c r="J1189" i="1"/>
  <c r="I1189" i="1"/>
  <c r="H1189" i="1"/>
  <c r="F1189" i="1"/>
  <c r="E1189" i="1"/>
  <c r="D1189" i="1"/>
  <c r="C1189" i="1"/>
  <c r="B1189" i="1"/>
  <c r="AT1188" i="1"/>
  <c r="AS1188" i="1"/>
  <c r="AK1188" i="1"/>
  <c r="AG1188" i="1"/>
  <c r="AF1188" i="1"/>
  <c r="AE1188" i="1"/>
  <c r="AC1188" i="1"/>
  <c r="AA1188" i="1"/>
  <c r="Z1188" i="1"/>
  <c r="Y1188" i="1"/>
  <c r="W1188" i="1"/>
  <c r="O1188" i="1"/>
  <c r="N1188" i="1"/>
  <c r="M1188" i="1"/>
  <c r="L1188" i="1"/>
  <c r="K1188" i="1"/>
  <c r="J1188" i="1"/>
  <c r="I1188" i="1"/>
  <c r="H1188" i="1"/>
  <c r="F1188" i="1"/>
  <c r="E1188" i="1"/>
  <c r="D1188" i="1"/>
  <c r="C1188" i="1"/>
  <c r="B1188" i="1"/>
  <c r="AT1187" i="1"/>
  <c r="AS1187" i="1"/>
  <c r="AK1187" i="1"/>
  <c r="AG1187" i="1"/>
  <c r="AF1187" i="1"/>
  <c r="AE1187" i="1"/>
  <c r="AC1187" i="1"/>
  <c r="AA1187" i="1"/>
  <c r="Z1187" i="1"/>
  <c r="Y1187" i="1"/>
  <c r="W1187" i="1"/>
  <c r="O1187" i="1"/>
  <c r="N1187" i="1"/>
  <c r="M1187" i="1"/>
  <c r="L1187" i="1"/>
  <c r="K1187" i="1"/>
  <c r="J1187" i="1"/>
  <c r="I1187" i="1"/>
  <c r="H1187" i="1"/>
  <c r="F1187" i="1"/>
  <c r="E1187" i="1"/>
  <c r="D1187" i="1"/>
  <c r="C1187" i="1"/>
  <c r="B1187" i="1"/>
  <c r="AT1186" i="1"/>
  <c r="AS1186" i="1"/>
  <c r="AK1186" i="1"/>
  <c r="AG1186" i="1"/>
  <c r="AF1186" i="1"/>
  <c r="AE1186" i="1"/>
  <c r="AC1186" i="1"/>
  <c r="AA1186" i="1"/>
  <c r="Z1186" i="1"/>
  <c r="Y1186" i="1"/>
  <c r="W1186" i="1"/>
  <c r="O1186" i="1"/>
  <c r="N1186" i="1"/>
  <c r="M1186" i="1"/>
  <c r="L1186" i="1"/>
  <c r="K1186" i="1"/>
  <c r="J1186" i="1"/>
  <c r="I1186" i="1"/>
  <c r="H1186" i="1"/>
  <c r="F1186" i="1"/>
  <c r="E1186" i="1"/>
  <c r="D1186" i="1"/>
  <c r="C1186" i="1"/>
  <c r="B1186" i="1"/>
  <c r="AT1185" i="1"/>
  <c r="AS1185" i="1"/>
  <c r="AK1185" i="1"/>
  <c r="AG1185" i="1"/>
  <c r="AF1185" i="1"/>
  <c r="AE1185" i="1"/>
  <c r="AC1185" i="1"/>
  <c r="AA1185" i="1"/>
  <c r="Z1185" i="1"/>
  <c r="Y1185" i="1"/>
  <c r="W1185" i="1"/>
  <c r="U1185" i="1"/>
  <c r="T1185" i="1"/>
  <c r="S1185" i="1"/>
  <c r="O1185" i="1"/>
  <c r="N1185" i="1"/>
  <c r="M1185" i="1"/>
  <c r="L1185" i="1"/>
  <c r="K1185" i="1"/>
  <c r="J1185" i="1"/>
  <c r="I1185" i="1"/>
  <c r="H1185" i="1"/>
  <c r="G1185" i="1"/>
  <c r="F1185" i="1"/>
  <c r="E1185" i="1"/>
  <c r="D1185" i="1"/>
  <c r="C1185" i="1"/>
  <c r="B1185" i="1"/>
  <c r="AT1184" i="1"/>
  <c r="AS1184" i="1"/>
  <c r="AK1184" i="1"/>
  <c r="AG1184" i="1"/>
  <c r="AF1184" i="1"/>
  <c r="AE1184" i="1"/>
  <c r="AC1184" i="1"/>
  <c r="AA1184" i="1"/>
  <c r="Z1184" i="1"/>
  <c r="Y1184" i="1"/>
  <c r="W1184" i="1"/>
  <c r="O1184" i="1"/>
  <c r="N1184" i="1"/>
  <c r="M1184" i="1"/>
  <c r="L1184" i="1"/>
  <c r="K1184" i="1"/>
  <c r="J1184" i="1"/>
  <c r="I1184" i="1"/>
  <c r="H1184" i="1"/>
  <c r="F1184" i="1"/>
  <c r="E1184" i="1"/>
  <c r="D1184" i="1"/>
  <c r="C1184" i="1"/>
  <c r="B1184" i="1"/>
  <c r="AT1183" i="1"/>
  <c r="AS1183" i="1"/>
  <c r="AK1183" i="1"/>
  <c r="AG1183" i="1"/>
  <c r="AF1183" i="1"/>
  <c r="AE1183" i="1"/>
  <c r="AC1183" i="1"/>
  <c r="AA1183" i="1"/>
  <c r="Z1183" i="1"/>
  <c r="Y1183" i="1"/>
  <c r="W1183" i="1"/>
  <c r="V1183" i="1"/>
  <c r="U1183" i="1"/>
  <c r="T1183" i="1"/>
  <c r="S1183" i="1"/>
  <c r="O1183" i="1"/>
  <c r="N1183" i="1"/>
  <c r="M1183" i="1"/>
  <c r="L1183" i="1"/>
  <c r="K1183" i="1"/>
  <c r="J1183" i="1"/>
  <c r="I1183" i="1"/>
  <c r="H1183" i="1"/>
  <c r="F1183" i="1"/>
  <c r="E1183" i="1"/>
  <c r="D1183" i="1"/>
  <c r="C1183" i="1"/>
  <c r="B1183" i="1"/>
  <c r="AT1182" i="1"/>
  <c r="AS1182" i="1"/>
  <c r="AK1182" i="1"/>
  <c r="AG1182" i="1"/>
  <c r="AF1182" i="1"/>
  <c r="AE1182" i="1"/>
  <c r="AC1182" i="1"/>
  <c r="AA1182" i="1"/>
  <c r="Z1182" i="1"/>
  <c r="Y1182" i="1"/>
  <c r="W1182" i="1"/>
  <c r="U1182" i="1"/>
  <c r="T1182" i="1"/>
  <c r="S1182" i="1"/>
  <c r="O1182" i="1"/>
  <c r="N1182" i="1"/>
  <c r="M1182" i="1"/>
  <c r="L1182" i="1"/>
  <c r="K1182" i="1"/>
  <c r="J1182" i="1"/>
  <c r="I1182" i="1"/>
  <c r="H1182" i="1"/>
  <c r="G1182" i="1"/>
  <c r="F1182" i="1"/>
  <c r="E1182" i="1"/>
  <c r="D1182" i="1"/>
  <c r="C1182" i="1"/>
  <c r="B1182" i="1"/>
  <c r="AT1181" i="1"/>
  <c r="AS1181" i="1"/>
  <c r="AK1181" i="1"/>
  <c r="AG1181" i="1"/>
  <c r="AF1181" i="1"/>
  <c r="AE1181" i="1"/>
  <c r="AC1181" i="1"/>
  <c r="AA1181" i="1"/>
  <c r="Z1181" i="1"/>
  <c r="Y1181" i="1"/>
  <c r="W1181" i="1"/>
  <c r="U1181" i="1"/>
  <c r="T1181" i="1"/>
  <c r="S1181" i="1"/>
  <c r="O1181" i="1"/>
  <c r="N1181" i="1"/>
  <c r="M1181" i="1"/>
  <c r="L1181" i="1"/>
  <c r="K1181" i="1"/>
  <c r="J1181" i="1"/>
  <c r="I1181" i="1"/>
  <c r="H1181" i="1"/>
  <c r="F1181" i="1"/>
  <c r="E1181" i="1"/>
  <c r="D1181" i="1"/>
  <c r="C1181" i="1"/>
  <c r="B1181" i="1"/>
  <c r="AT1180" i="1"/>
  <c r="AS1180" i="1"/>
  <c r="AK1180" i="1"/>
  <c r="AG1180" i="1"/>
  <c r="AF1180" i="1"/>
  <c r="AE1180" i="1"/>
  <c r="AC1180" i="1"/>
  <c r="AA1180" i="1"/>
  <c r="Z1180" i="1"/>
  <c r="Y1180" i="1"/>
  <c r="W1180" i="1"/>
  <c r="O1180" i="1"/>
  <c r="N1180" i="1"/>
  <c r="M1180" i="1"/>
  <c r="L1180" i="1"/>
  <c r="K1180" i="1"/>
  <c r="J1180" i="1"/>
  <c r="I1180" i="1"/>
  <c r="H1180" i="1"/>
  <c r="F1180" i="1"/>
  <c r="E1180" i="1"/>
  <c r="D1180" i="1"/>
  <c r="C1180" i="1"/>
  <c r="B1180" i="1"/>
  <c r="AT1179" i="1"/>
  <c r="AS1179" i="1"/>
  <c r="AK1179" i="1"/>
  <c r="AG1179" i="1"/>
  <c r="AF1179" i="1"/>
  <c r="AE1179" i="1"/>
  <c r="AC1179" i="1"/>
  <c r="AA1179" i="1"/>
  <c r="Z1179" i="1"/>
  <c r="Y1179" i="1"/>
  <c r="W1179" i="1"/>
  <c r="O1179" i="1"/>
  <c r="N1179" i="1"/>
  <c r="M1179" i="1"/>
  <c r="L1179" i="1"/>
  <c r="K1179" i="1"/>
  <c r="J1179" i="1"/>
  <c r="I1179" i="1"/>
  <c r="H1179" i="1"/>
  <c r="F1179" i="1"/>
  <c r="E1179" i="1"/>
  <c r="D1179" i="1"/>
  <c r="C1179" i="1"/>
  <c r="B1179" i="1"/>
  <c r="AT1178" i="1"/>
  <c r="AS1178" i="1"/>
  <c r="AK1178" i="1"/>
  <c r="AG1178" i="1"/>
  <c r="AF1178" i="1"/>
  <c r="AE1178" i="1"/>
  <c r="AC1178" i="1"/>
  <c r="AA1178" i="1"/>
  <c r="Z1178" i="1"/>
  <c r="Y1178" i="1"/>
  <c r="W1178" i="1"/>
  <c r="O1178" i="1"/>
  <c r="N1178" i="1"/>
  <c r="M1178" i="1"/>
  <c r="L1178" i="1"/>
  <c r="K1178" i="1"/>
  <c r="J1178" i="1"/>
  <c r="I1178" i="1"/>
  <c r="H1178" i="1"/>
  <c r="G1178" i="1"/>
  <c r="F1178" i="1"/>
  <c r="E1178" i="1"/>
  <c r="D1178" i="1"/>
  <c r="C1178" i="1"/>
  <c r="B1178" i="1"/>
  <c r="AT1177" i="1"/>
  <c r="AS1177" i="1"/>
  <c r="AK1177" i="1"/>
  <c r="AG1177" i="1"/>
  <c r="AF1177" i="1"/>
  <c r="AE1177" i="1"/>
  <c r="AC1177" i="1"/>
  <c r="AA1177" i="1"/>
  <c r="Z1177" i="1"/>
  <c r="Y1177" i="1"/>
  <c r="W1177" i="1"/>
  <c r="O1177" i="1"/>
  <c r="N1177" i="1"/>
  <c r="M1177" i="1"/>
  <c r="L1177" i="1"/>
  <c r="K1177" i="1"/>
  <c r="J1177" i="1"/>
  <c r="I1177" i="1"/>
  <c r="H1177" i="1"/>
  <c r="F1177" i="1"/>
  <c r="E1177" i="1"/>
  <c r="D1177" i="1"/>
  <c r="C1177" i="1"/>
  <c r="B1177" i="1"/>
  <c r="AT1176" i="1"/>
  <c r="AS1176" i="1"/>
  <c r="AK1176" i="1"/>
  <c r="AG1176" i="1"/>
  <c r="AF1176" i="1"/>
  <c r="AE1176" i="1"/>
  <c r="AC1176" i="1"/>
  <c r="AA1176" i="1"/>
  <c r="Z1176" i="1"/>
  <c r="Y1176" i="1"/>
  <c r="W1176" i="1"/>
  <c r="O1176" i="1"/>
  <c r="N1176" i="1"/>
  <c r="M1176" i="1"/>
  <c r="L1176" i="1"/>
  <c r="K1176" i="1"/>
  <c r="J1176" i="1"/>
  <c r="I1176" i="1"/>
  <c r="H1176" i="1"/>
  <c r="F1176" i="1"/>
  <c r="E1176" i="1"/>
  <c r="D1176" i="1"/>
  <c r="C1176" i="1"/>
  <c r="B1176" i="1"/>
  <c r="AT1175" i="1"/>
  <c r="AS1175" i="1"/>
  <c r="AK1175" i="1"/>
  <c r="AG1175" i="1"/>
  <c r="AF1175" i="1"/>
  <c r="AE1175" i="1"/>
  <c r="AC1175" i="1"/>
  <c r="AA1175" i="1"/>
  <c r="Z1175" i="1"/>
  <c r="Y1175" i="1"/>
  <c r="W1175" i="1"/>
  <c r="O1175" i="1"/>
  <c r="N1175" i="1"/>
  <c r="M1175" i="1"/>
  <c r="L1175" i="1"/>
  <c r="K1175" i="1"/>
  <c r="J1175" i="1"/>
  <c r="I1175" i="1"/>
  <c r="H1175" i="1"/>
  <c r="F1175" i="1"/>
  <c r="E1175" i="1"/>
  <c r="D1175" i="1"/>
  <c r="C1175" i="1"/>
  <c r="B1175" i="1"/>
  <c r="AT1174" i="1"/>
  <c r="AS1174" i="1"/>
  <c r="AK1174" i="1"/>
  <c r="AG1174" i="1"/>
  <c r="AF1174" i="1"/>
  <c r="AE1174" i="1"/>
  <c r="AC1174" i="1"/>
  <c r="AA1174" i="1"/>
  <c r="Z1174" i="1"/>
  <c r="Y1174" i="1"/>
  <c r="W1174" i="1"/>
  <c r="O1174" i="1"/>
  <c r="N1174" i="1"/>
  <c r="M1174" i="1"/>
  <c r="L1174" i="1"/>
  <c r="K1174" i="1"/>
  <c r="J1174" i="1"/>
  <c r="I1174" i="1"/>
  <c r="H1174" i="1"/>
  <c r="F1174" i="1"/>
  <c r="E1174" i="1"/>
  <c r="D1174" i="1"/>
  <c r="C1174" i="1"/>
  <c r="B1174" i="1"/>
  <c r="AT1173" i="1"/>
  <c r="AS1173" i="1"/>
  <c r="AK1173" i="1"/>
  <c r="AG1173" i="1"/>
  <c r="AF1173" i="1"/>
  <c r="AE1173" i="1"/>
  <c r="AC1173" i="1"/>
  <c r="AA1173" i="1"/>
  <c r="Z1173" i="1"/>
  <c r="Y1173" i="1"/>
  <c r="W1173" i="1"/>
  <c r="O1173" i="1"/>
  <c r="N1173" i="1"/>
  <c r="M1173" i="1"/>
  <c r="L1173" i="1"/>
  <c r="K1173" i="1"/>
  <c r="J1173" i="1"/>
  <c r="I1173" i="1"/>
  <c r="H1173" i="1"/>
  <c r="F1173" i="1"/>
  <c r="E1173" i="1"/>
  <c r="D1173" i="1"/>
  <c r="C1173" i="1"/>
  <c r="B1173" i="1"/>
  <c r="AT1172" i="1"/>
  <c r="AS1172" i="1"/>
  <c r="AK1172" i="1"/>
  <c r="AG1172" i="1"/>
  <c r="AF1172" i="1"/>
  <c r="AE1172" i="1"/>
  <c r="AC1172" i="1"/>
  <c r="AA1172" i="1"/>
  <c r="Z1172" i="1"/>
  <c r="Y1172" i="1"/>
  <c r="W1172" i="1"/>
  <c r="O1172" i="1"/>
  <c r="N1172" i="1"/>
  <c r="M1172" i="1"/>
  <c r="L1172" i="1"/>
  <c r="K1172" i="1"/>
  <c r="J1172" i="1"/>
  <c r="I1172" i="1"/>
  <c r="H1172" i="1"/>
  <c r="F1172" i="1"/>
  <c r="E1172" i="1"/>
  <c r="D1172" i="1"/>
  <c r="C1172" i="1"/>
  <c r="B1172" i="1"/>
  <c r="AT1171" i="1"/>
  <c r="AS1171" i="1"/>
  <c r="AK1171" i="1"/>
  <c r="AG1171" i="1"/>
  <c r="AF1171" i="1"/>
  <c r="AE1171" i="1"/>
  <c r="AC1171" i="1"/>
  <c r="AA1171" i="1"/>
  <c r="Z1171" i="1"/>
  <c r="Y1171" i="1"/>
  <c r="W1171" i="1"/>
  <c r="Q1171" i="1"/>
  <c r="O1171" i="1"/>
  <c r="N1171" i="1"/>
  <c r="M1171" i="1"/>
  <c r="L1171" i="1"/>
  <c r="K1171" i="1"/>
  <c r="J1171" i="1"/>
  <c r="I1171" i="1"/>
  <c r="H1171" i="1"/>
  <c r="F1171" i="1"/>
  <c r="E1171" i="1"/>
  <c r="D1171" i="1"/>
  <c r="C1171" i="1"/>
  <c r="B1171" i="1"/>
  <c r="AT1170" i="1"/>
  <c r="AS1170" i="1"/>
  <c r="AK1170" i="1"/>
  <c r="AG1170" i="1"/>
  <c r="AF1170" i="1"/>
  <c r="AE1170" i="1"/>
  <c r="AC1170" i="1"/>
  <c r="AA1170" i="1"/>
  <c r="Z1170" i="1"/>
  <c r="Y1170" i="1"/>
  <c r="W1170" i="1"/>
  <c r="O1170" i="1"/>
  <c r="N1170" i="1"/>
  <c r="M1170" i="1"/>
  <c r="L1170" i="1"/>
  <c r="K1170" i="1"/>
  <c r="J1170" i="1"/>
  <c r="I1170" i="1"/>
  <c r="H1170" i="1"/>
  <c r="F1170" i="1"/>
  <c r="E1170" i="1"/>
  <c r="D1170" i="1"/>
  <c r="C1170" i="1"/>
  <c r="B1170" i="1"/>
  <c r="AT1169" i="1"/>
  <c r="AS1169" i="1"/>
  <c r="AK1169" i="1"/>
  <c r="AG1169" i="1"/>
  <c r="AF1169" i="1"/>
  <c r="AE1169" i="1"/>
  <c r="AC1169" i="1"/>
  <c r="AA1169" i="1"/>
  <c r="Z1169" i="1"/>
  <c r="Y1169" i="1"/>
  <c r="W1169" i="1"/>
  <c r="O1169" i="1"/>
  <c r="N1169" i="1"/>
  <c r="M1169" i="1"/>
  <c r="L1169" i="1"/>
  <c r="K1169" i="1"/>
  <c r="J1169" i="1"/>
  <c r="I1169" i="1"/>
  <c r="H1169" i="1"/>
  <c r="G1169" i="1"/>
  <c r="F1169" i="1"/>
  <c r="E1169" i="1"/>
  <c r="D1169" i="1"/>
  <c r="C1169" i="1"/>
  <c r="B1169" i="1"/>
  <c r="AT1168" i="1"/>
  <c r="AS1168" i="1"/>
  <c r="AK1168" i="1"/>
  <c r="AG1168" i="1"/>
  <c r="AF1168" i="1"/>
  <c r="AE1168" i="1"/>
  <c r="AC1168" i="1"/>
  <c r="AA1168" i="1"/>
  <c r="Z1168" i="1"/>
  <c r="Y1168" i="1"/>
  <c r="W1168" i="1"/>
  <c r="U1168" i="1"/>
  <c r="T1168" i="1"/>
  <c r="S1168" i="1"/>
  <c r="O1168" i="1"/>
  <c r="N1168" i="1"/>
  <c r="M1168" i="1"/>
  <c r="L1168" i="1"/>
  <c r="K1168" i="1"/>
  <c r="J1168" i="1"/>
  <c r="I1168" i="1"/>
  <c r="H1168" i="1"/>
  <c r="F1168" i="1"/>
  <c r="E1168" i="1"/>
  <c r="D1168" i="1"/>
  <c r="C1168" i="1"/>
  <c r="B1168" i="1"/>
  <c r="AT1167" i="1"/>
  <c r="AS1167" i="1"/>
  <c r="AK1167" i="1"/>
  <c r="AG1167" i="1"/>
  <c r="AF1167" i="1"/>
  <c r="AE1167" i="1"/>
  <c r="AC1167" i="1"/>
  <c r="AA1167" i="1"/>
  <c r="Z1167" i="1"/>
  <c r="Y1167" i="1"/>
  <c r="W1167" i="1"/>
  <c r="O1167" i="1"/>
  <c r="N1167" i="1"/>
  <c r="M1167" i="1"/>
  <c r="L1167" i="1"/>
  <c r="K1167" i="1"/>
  <c r="J1167" i="1"/>
  <c r="I1167" i="1"/>
  <c r="H1167" i="1"/>
  <c r="G1167" i="1"/>
  <c r="F1167" i="1"/>
  <c r="E1167" i="1"/>
  <c r="D1167" i="1"/>
  <c r="C1167" i="1"/>
  <c r="B1167" i="1"/>
  <c r="AT1166" i="1"/>
  <c r="AS1166" i="1"/>
  <c r="AK1166" i="1"/>
  <c r="AG1166" i="1"/>
  <c r="AF1166" i="1"/>
  <c r="AE1166" i="1"/>
  <c r="AC1166" i="1"/>
  <c r="AA1166" i="1"/>
  <c r="Z1166" i="1"/>
  <c r="Y1166" i="1"/>
  <c r="W1166" i="1"/>
  <c r="U1166" i="1"/>
  <c r="T1166" i="1"/>
  <c r="S1166" i="1"/>
  <c r="O1166" i="1"/>
  <c r="N1166" i="1"/>
  <c r="M1166" i="1"/>
  <c r="L1166" i="1"/>
  <c r="K1166" i="1"/>
  <c r="J1166" i="1"/>
  <c r="I1166" i="1"/>
  <c r="H1166" i="1"/>
  <c r="F1166" i="1"/>
  <c r="E1166" i="1"/>
  <c r="D1166" i="1"/>
  <c r="C1166" i="1"/>
  <c r="B1166" i="1"/>
  <c r="AT1165" i="1"/>
  <c r="AS1165" i="1"/>
  <c r="AK1165" i="1"/>
  <c r="AG1165" i="1"/>
  <c r="AF1165" i="1"/>
  <c r="AE1165" i="1"/>
  <c r="AC1165" i="1"/>
  <c r="AA1165" i="1"/>
  <c r="Z1165" i="1"/>
  <c r="Y1165" i="1"/>
  <c r="W1165" i="1"/>
  <c r="O1165" i="1"/>
  <c r="N1165" i="1"/>
  <c r="M1165" i="1"/>
  <c r="L1165" i="1"/>
  <c r="K1165" i="1"/>
  <c r="J1165" i="1"/>
  <c r="I1165" i="1"/>
  <c r="H1165" i="1"/>
  <c r="F1165" i="1"/>
  <c r="E1165" i="1"/>
  <c r="D1165" i="1"/>
  <c r="C1165" i="1"/>
  <c r="B1165" i="1"/>
  <c r="AT1164" i="1"/>
  <c r="AS1164" i="1"/>
  <c r="AK1164" i="1"/>
  <c r="AG1164" i="1"/>
  <c r="AF1164" i="1"/>
  <c r="AE1164" i="1"/>
  <c r="AC1164" i="1"/>
  <c r="AA1164" i="1"/>
  <c r="Z1164" i="1"/>
  <c r="Y1164" i="1"/>
  <c r="W1164" i="1"/>
  <c r="O1164" i="1"/>
  <c r="N1164" i="1"/>
  <c r="M1164" i="1"/>
  <c r="L1164" i="1"/>
  <c r="K1164" i="1"/>
  <c r="J1164" i="1"/>
  <c r="I1164" i="1"/>
  <c r="H1164" i="1"/>
  <c r="F1164" i="1"/>
  <c r="E1164" i="1"/>
  <c r="D1164" i="1"/>
  <c r="C1164" i="1"/>
  <c r="B1164" i="1"/>
  <c r="AT1163" i="1"/>
  <c r="AS1163" i="1"/>
  <c r="AK1163" i="1"/>
  <c r="AG1163" i="1"/>
  <c r="AF1163" i="1"/>
  <c r="AE1163" i="1"/>
  <c r="AC1163" i="1"/>
  <c r="AA1163" i="1"/>
  <c r="Z1163" i="1"/>
  <c r="Y1163" i="1"/>
  <c r="W1163" i="1"/>
  <c r="O1163" i="1"/>
  <c r="N1163" i="1"/>
  <c r="M1163" i="1"/>
  <c r="L1163" i="1"/>
  <c r="K1163" i="1"/>
  <c r="J1163" i="1"/>
  <c r="I1163" i="1"/>
  <c r="H1163" i="1"/>
  <c r="G1163" i="1"/>
  <c r="F1163" i="1"/>
  <c r="E1163" i="1"/>
  <c r="D1163" i="1"/>
  <c r="C1163" i="1"/>
  <c r="B1163" i="1"/>
  <c r="AT1162" i="1"/>
  <c r="AS1162" i="1"/>
  <c r="AK1162" i="1"/>
  <c r="AG1162" i="1"/>
  <c r="AF1162" i="1"/>
  <c r="AE1162" i="1"/>
  <c r="AC1162" i="1"/>
  <c r="AA1162" i="1"/>
  <c r="Z1162" i="1"/>
  <c r="Y1162" i="1"/>
  <c r="W1162" i="1"/>
  <c r="V1162" i="1"/>
  <c r="U1162" i="1"/>
  <c r="T1162" i="1"/>
  <c r="S1162" i="1"/>
  <c r="O1162" i="1"/>
  <c r="N1162" i="1"/>
  <c r="M1162" i="1"/>
  <c r="L1162" i="1"/>
  <c r="K1162" i="1"/>
  <c r="J1162" i="1"/>
  <c r="I1162" i="1"/>
  <c r="H1162" i="1"/>
  <c r="G1162" i="1"/>
  <c r="F1162" i="1"/>
  <c r="E1162" i="1"/>
  <c r="D1162" i="1"/>
  <c r="C1162" i="1"/>
  <c r="B1162" i="1"/>
  <c r="AT1161" i="1"/>
  <c r="AS1161" i="1"/>
  <c r="AK1161" i="1"/>
  <c r="AG1161" i="1"/>
  <c r="AF1161" i="1"/>
  <c r="AE1161" i="1"/>
  <c r="AC1161" i="1"/>
  <c r="AA1161" i="1"/>
  <c r="Z1161" i="1"/>
  <c r="Y1161" i="1"/>
  <c r="W1161" i="1"/>
  <c r="O1161" i="1"/>
  <c r="N1161" i="1"/>
  <c r="M1161" i="1"/>
  <c r="L1161" i="1"/>
  <c r="K1161" i="1"/>
  <c r="J1161" i="1"/>
  <c r="I1161" i="1"/>
  <c r="H1161" i="1"/>
  <c r="G1161" i="1"/>
  <c r="F1161" i="1"/>
  <c r="E1161" i="1"/>
  <c r="D1161" i="1"/>
  <c r="C1161" i="1"/>
  <c r="B1161" i="1"/>
  <c r="AT1160" i="1"/>
  <c r="AS1160" i="1"/>
  <c r="AK1160" i="1"/>
  <c r="AG1160" i="1"/>
  <c r="AF1160" i="1"/>
  <c r="AE1160" i="1"/>
  <c r="AC1160" i="1"/>
  <c r="AA1160" i="1"/>
  <c r="Z1160" i="1"/>
  <c r="Y1160" i="1"/>
  <c r="W1160" i="1"/>
  <c r="O1160" i="1"/>
  <c r="N1160" i="1"/>
  <c r="M1160" i="1"/>
  <c r="L1160" i="1"/>
  <c r="K1160" i="1"/>
  <c r="J1160" i="1"/>
  <c r="I1160" i="1"/>
  <c r="H1160" i="1"/>
  <c r="F1160" i="1"/>
  <c r="E1160" i="1"/>
  <c r="D1160" i="1"/>
  <c r="C1160" i="1"/>
  <c r="B1160" i="1"/>
  <c r="AT1159" i="1"/>
  <c r="AS1159" i="1"/>
  <c r="AK1159" i="1"/>
  <c r="AG1159" i="1"/>
  <c r="AF1159" i="1"/>
  <c r="AE1159" i="1"/>
  <c r="AC1159" i="1"/>
  <c r="AA1159" i="1"/>
  <c r="Z1159" i="1"/>
  <c r="Y1159" i="1"/>
  <c r="W1159" i="1"/>
  <c r="O1159" i="1"/>
  <c r="N1159" i="1"/>
  <c r="M1159" i="1"/>
  <c r="L1159" i="1"/>
  <c r="K1159" i="1"/>
  <c r="J1159" i="1"/>
  <c r="I1159" i="1"/>
  <c r="H1159" i="1"/>
  <c r="G1159" i="1"/>
  <c r="F1159" i="1"/>
  <c r="E1159" i="1"/>
  <c r="D1159" i="1"/>
  <c r="C1159" i="1"/>
  <c r="B1159" i="1"/>
  <c r="AT1158" i="1"/>
  <c r="AS1158" i="1"/>
  <c r="AK1158" i="1"/>
  <c r="AG1158" i="1"/>
  <c r="AF1158" i="1"/>
  <c r="AE1158" i="1"/>
  <c r="AC1158" i="1"/>
  <c r="AA1158" i="1"/>
  <c r="Z1158" i="1"/>
  <c r="Y1158" i="1"/>
  <c r="W1158" i="1"/>
  <c r="O1158" i="1"/>
  <c r="N1158" i="1"/>
  <c r="M1158" i="1"/>
  <c r="L1158" i="1"/>
  <c r="K1158" i="1"/>
  <c r="J1158" i="1"/>
  <c r="I1158" i="1"/>
  <c r="H1158" i="1"/>
  <c r="F1158" i="1"/>
  <c r="E1158" i="1"/>
  <c r="D1158" i="1"/>
  <c r="C1158" i="1"/>
  <c r="B1158" i="1"/>
  <c r="AT1157" i="1"/>
  <c r="AS1157" i="1"/>
  <c r="AK1157" i="1"/>
  <c r="AG1157" i="1"/>
  <c r="AF1157" i="1"/>
  <c r="AE1157" i="1"/>
  <c r="AC1157" i="1"/>
  <c r="AA1157" i="1"/>
  <c r="Z1157" i="1"/>
  <c r="Y1157" i="1"/>
  <c r="W1157" i="1"/>
  <c r="O1157" i="1"/>
  <c r="N1157" i="1"/>
  <c r="M1157" i="1"/>
  <c r="L1157" i="1"/>
  <c r="K1157" i="1"/>
  <c r="J1157" i="1"/>
  <c r="I1157" i="1"/>
  <c r="H1157" i="1"/>
  <c r="F1157" i="1"/>
  <c r="E1157" i="1"/>
  <c r="D1157" i="1"/>
  <c r="C1157" i="1"/>
  <c r="B1157" i="1"/>
  <c r="AT1156" i="1"/>
  <c r="AS1156" i="1"/>
  <c r="AK1156" i="1"/>
  <c r="AG1156" i="1"/>
  <c r="AF1156" i="1"/>
  <c r="AE1156" i="1"/>
  <c r="AC1156" i="1"/>
  <c r="AA1156" i="1"/>
  <c r="Z1156" i="1"/>
  <c r="Y1156" i="1"/>
  <c r="W1156" i="1"/>
  <c r="O1156" i="1"/>
  <c r="N1156" i="1"/>
  <c r="M1156" i="1"/>
  <c r="L1156" i="1"/>
  <c r="K1156" i="1"/>
  <c r="J1156" i="1"/>
  <c r="I1156" i="1"/>
  <c r="H1156" i="1"/>
  <c r="F1156" i="1"/>
  <c r="E1156" i="1"/>
  <c r="D1156" i="1"/>
  <c r="C1156" i="1"/>
  <c r="B1156" i="1"/>
  <c r="AT1155" i="1"/>
  <c r="AS1155" i="1"/>
  <c r="AK1155" i="1"/>
  <c r="AG1155" i="1"/>
  <c r="AF1155" i="1"/>
  <c r="AE1155" i="1"/>
  <c r="AC1155" i="1"/>
  <c r="AA1155" i="1"/>
  <c r="Z1155" i="1"/>
  <c r="Y1155" i="1"/>
  <c r="W1155" i="1"/>
  <c r="O1155" i="1"/>
  <c r="N1155" i="1"/>
  <c r="M1155" i="1"/>
  <c r="L1155" i="1"/>
  <c r="K1155" i="1"/>
  <c r="J1155" i="1"/>
  <c r="I1155" i="1"/>
  <c r="H1155" i="1"/>
  <c r="F1155" i="1"/>
  <c r="E1155" i="1"/>
  <c r="D1155" i="1"/>
  <c r="C1155" i="1"/>
  <c r="B1155" i="1"/>
  <c r="AT1154" i="1"/>
  <c r="AS1154" i="1"/>
  <c r="AK1154" i="1"/>
  <c r="AG1154" i="1"/>
  <c r="AF1154" i="1"/>
  <c r="AE1154" i="1"/>
  <c r="AC1154" i="1"/>
  <c r="AA1154" i="1"/>
  <c r="Z1154" i="1"/>
  <c r="Y1154" i="1"/>
  <c r="W1154" i="1"/>
  <c r="O1154" i="1"/>
  <c r="N1154" i="1"/>
  <c r="M1154" i="1"/>
  <c r="L1154" i="1"/>
  <c r="K1154" i="1"/>
  <c r="J1154" i="1"/>
  <c r="I1154" i="1"/>
  <c r="H1154" i="1"/>
  <c r="F1154" i="1"/>
  <c r="E1154" i="1"/>
  <c r="D1154" i="1"/>
  <c r="C1154" i="1"/>
  <c r="B1154" i="1"/>
  <c r="AT1153" i="1"/>
  <c r="AS1153" i="1"/>
  <c r="AK1153" i="1"/>
  <c r="AG1153" i="1"/>
  <c r="AF1153" i="1"/>
  <c r="AE1153" i="1"/>
  <c r="AC1153" i="1"/>
  <c r="AA1153" i="1"/>
  <c r="Z1153" i="1"/>
  <c r="Y1153" i="1"/>
  <c r="W1153" i="1"/>
  <c r="O1153" i="1"/>
  <c r="N1153" i="1"/>
  <c r="M1153" i="1"/>
  <c r="L1153" i="1"/>
  <c r="K1153" i="1"/>
  <c r="J1153" i="1"/>
  <c r="I1153" i="1"/>
  <c r="H1153" i="1"/>
  <c r="F1153" i="1"/>
  <c r="E1153" i="1"/>
  <c r="D1153" i="1"/>
  <c r="C1153" i="1"/>
  <c r="B1153" i="1"/>
  <c r="AT1152" i="1"/>
  <c r="AS1152" i="1"/>
  <c r="AK1152" i="1"/>
  <c r="AG1152" i="1"/>
  <c r="AF1152" i="1"/>
  <c r="AE1152" i="1"/>
  <c r="AC1152" i="1"/>
  <c r="AA1152" i="1"/>
  <c r="Z1152" i="1"/>
  <c r="Y1152" i="1"/>
  <c r="W1152" i="1"/>
  <c r="O1152" i="1"/>
  <c r="N1152" i="1"/>
  <c r="M1152" i="1"/>
  <c r="L1152" i="1"/>
  <c r="K1152" i="1"/>
  <c r="J1152" i="1"/>
  <c r="I1152" i="1"/>
  <c r="H1152" i="1"/>
  <c r="G1152" i="1"/>
  <c r="F1152" i="1"/>
  <c r="E1152" i="1"/>
  <c r="D1152" i="1"/>
  <c r="C1152" i="1"/>
  <c r="B1152" i="1"/>
  <c r="AT1151" i="1"/>
  <c r="AS1151" i="1"/>
  <c r="AK1151" i="1"/>
  <c r="AG1151" i="1"/>
  <c r="AF1151" i="1"/>
  <c r="AE1151" i="1"/>
  <c r="AC1151" i="1"/>
  <c r="AA1151" i="1"/>
  <c r="Z1151" i="1"/>
  <c r="Y1151" i="1"/>
  <c r="W1151" i="1"/>
  <c r="O1151" i="1"/>
  <c r="N1151" i="1"/>
  <c r="M1151" i="1"/>
  <c r="L1151" i="1"/>
  <c r="K1151" i="1"/>
  <c r="J1151" i="1"/>
  <c r="I1151" i="1"/>
  <c r="H1151" i="1"/>
  <c r="F1151" i="1"/>
  <c r="E1151" i="1"/>
  <c r="D1151" i="1"/>
  <c r="C1151" i="1"/>
  <c r="B1151" i="1"/>
  <c r="AT1150" i="1"/>
  <c r="AS1150" i="1"/>
  <c r="AK1150" i="1"/>
  <c r="AG1150" i="1"/>
  <c r="AF1150" i="1"/>
  <c r="AE1150" i="1"/>
  <c r="AC1150" i="1"/>
  <c r="AA1150" i="1"/>
  <c r="Z1150" i="1"/>
  <c r="Y1150" i="1"/>
  <c r="W1150" i="1"/>
  <c r="O1150" i="1"/>
  <c r="N1150" i="1"/>
  <c r="M1150" i="1"/>
  <c r="L1150" i="1"/>
  <c r="K1150" i="1"/>
  <c r="J1150" i="1"/>
  <c r="I1150" i="1"/>
  <c r="H1150" i="1"/>
  <c r="F1150" i="1"/>
  <c r="E1150" i="1"/>
  <c r="D1150" i="1"/>
  <c r="C1150" i="1"/>
  <c r="B1150" i="1"/>
  <c r="AT1149" i="1"/>
  <c r="AS1149" i="1"/>
  <c r="AK1149" i="1"/>
  <c r="AG1149" i="1"/>
  <c r="AF1149" i="1"/>
  <c r="AE1149" i="1"/>
  <c r="AC1149" i="1"/>
  <c r="AA1149" i="1"/>
  <c r="Z1149" i="1"/>
  <c r="Y1149" i="1"/>
  <c r="W1149" i="1"/>
  <c r="O1149" i="1"/>
  <c r="N1149" i="1"/>
  <c r="M1149" i="1"/>
  <c r="L1149" i="1"/>
  <c r="K1149" i="1"/>
  <c r="J1149" i="1"/>
  <c r="I1149" i="1"/>
  <c r="H1149" i="1"/>
  <c r="F1149" i="1"/>
  <c r="E1149" i="1"/>
  <c r="D1149" i="1"/>
  <c r="C1149" i="1"/>
  <c r="B1149" i="1"/>
  <c r="AT1148" i="1"/>
  <c r="AS1148" i="1"/>
  <c r="AK1148" i="1"/>
  <c r="AG1148" i="1"/>
  <c r="AF1148" i="1"/>
  <c r="AE1148" i="1"/>
  <c r="AC1148" i="1"/>
  <c r="AA1148" i="1"/>
  <c r="Z1148" i="1"/>
  <c r="Y1148" i="1"/>
  <c r="W1148" i="1"/>
  <c r="O1148" i="1"/>
  <c r="N1148" i="1"/>
  <c r="M1148" i="1"/>
  <c r="L1148" i="1"/>
  <c r="K1148" i="1"/>
  <c r="J1148" i="1"/>
  <c r="I1148" i="1"/>
  <c r="H1148" i="1"/>
  <c r="F1148" i="1"/>
  <c r="E1148" i="1"/>
  <c r="D1148" i="1"/>
  <c r="C1148" i="1"/>
  <c r="B1148" i="1"/>
  <c r="AT1147" i="1"/>
  <c r="AS1147" i="1"/>
  <c r="AK1147" i="1"/>
  <c r="AG1147" i="1"/>
  <c r="AF1147" i="1"/>
  <c r="AE1147" i="1"/>
  <c r="AC1147" i="1"/>
  <c r="AA1147" i="1"/>
  <c r="Z1147" i="1"/>
  <c r="Y1147" i="1"/>
  <c r="W1147" i="1"/>
  <c r="O1147" i="1"/>
  <c r="N1147" i="1"/>
  <c r="M1147" i="1"/>
  <c r="L1147" i="1"/>
  <c r="K1147" i="1"/>
  <c r="J1147" i="1"/>
  <c r="I1147" i="1"/>
  <c r="H1147" i="1"/>
  <c r="F1147" i="1"/>
  <c r="E1147" i="1"/>
  <c r="D1147" i="1"/>
  <c r="C1147" i="1"/>
  <c r="B1147" i="1"/>
  <c r="AT1146" i="1"/>
  <c r="AS1146" i="1"/>
  <c r="AK1146" i="1"/>
  <c r="AG1146" i="1"/>
  <c r="AF1146" i="1"/>
  <c r="AE1146" i="1"/>
  <c r="AC1146" i="1"/>
  <c r="AA1146" i="1"/>
  <c r="Z1146" i="1"/>
  <c r="Y1146" i="1"/>
  <c r="W1146" i="1"/>
  <c r="O1146" i="1"/>
  <c r="N1146" i="1"/>
  <c r="M1146" i="1"/>
  <c r="L1146" i="1"/>
  <c r="K1146" i="1"/>
  <c r="J1146" i="1"/>
  <c r="I1146" i="1"/>
  <c r="H1146" i="1"/>
  <c r="F1146" i="1"/>
  <c r="E1146" i="1"/>
  <c r="D1146" i="1"/>
  <c r="C1146" i="1"/>
  <c r="B1146" i="1"/>
  <c r="AV1145" i="1"/>
  <c r="AT1145" i="1"/>
  <c r="AS1145" i="1"/>
  <c r="AK1145" i="1"/>
  <c r="AG1145" i="1"/>
  <c r="AF1145" i="1"/>
  <c r="AE1145" i="1"/>
  <c r="AC1145" i="1"/>
  <c r="AA1145" i="1"/>
  <c r="Z1145" i="1"/>
  <c r="Y1145" i="1"/>
  <c r="W1145" i="1"/>
  <c r="O1145" i="1"/>
  <c r="N1145" i="1"/>
  <c r="M1145" i="1"/>
  <c r="L1145" i="1"/>
  <c r="K1145" i="1"/>
  <c r="J1145" i="1"/>
  <c r="I1145" i="1"/>
  <c r="H1145" i="1"/>
  <c r="F1145" i="1"/>
  <c r="E1145" i="1"/>
  <c r="D1145" i="1"/>
  <c r="C1145" i="1"/>
  <c r="B1145" i="1"/>
  <c r="AT1144" i="1"/>
  <c r="AS1144" i="1"/>
  <c r="AK1144" i="1"/>
  <c r="AG1144" i="1"/>
  <c r="AF1144" i="1"/>
  <c r="AE1144" i="1"/>
  <c r="AC1144" i="1"/>
  <c r="AA1144" i="1"/>
  <c r="Z1144" i="1"/>
  <c r="Y1144" i="1"/>
  <c r="W1144" i="1"/>
  <c r="O1144" i="1"/>
  <c r="N1144" i="1"/>
  <c r="M1144" i="1"/>
  <c r="L1144" i="1"/>
  <c r="K1144" i="1"/>
  <c r="J1144" i="1"/>
  <c r="I1144" i="1"/>
  <c r="H1144" i="1"/>
  <c r="F1144" i="1"/>
  <c r="E1144" i="1"/>
  <c r="D1144" i="1"/>
  <c r="C1144" i="1"/>
  <c r="B1144" i="1"/>
  <c r="AT1143" i="1"/>
  <c r="AS1143" i="1"/>
  <c r="AK1143" i="1"/>
  <c r="AG1143" i="1"/>
  <c r="AF1143" i="1"/>
  <c r="AE1143" i="1"/>
  <c r="AC1143" i="1"/>
  <c r="AA1143" i="1"/>
  <c r="Z1143" i="1"/>
  <c r="Y1143" i="1"/>
  <c r="W1143" i="1"/>
  <c r="O1143" i="1"/>
  <c r="N1143" i="1"/>
  <c r="M1143" i="1"/>
  <c r="L1143" i="1"/>
  <c r="K1143" i="1"/>
  <c r="J1143" i="1"/>
  <c r="I1143" i="1"/>
  <c r="H1143" i="1"/>
  <c r="F1143" i="1"/>
  <c r="E1143" i="1"/>
  <c r="D1143" i="1"/>
  <c r="C1143" i="1"/>
  <c r="B1143" i="1"/>
  <c r="AT1142" i="1"/>
  <c r="AS1142" i="1"/>
  <c r="AK1142" i="1"/>
  <c r="AG1142" i="1"/>
  <c r="AF1142" i="1"/>
  <c r="AE1142" i="1"/>
  <c r="AC1142" i="1"/>
  <c r="AA1142" i="1"/>
  <c r="Z1142" i="1"/>
  <c r="Y1142" i="1"/>
  <c r="W1142" i="1"/>
  <c r="O1142" i="1"/>
  <c r="N1142" i="1"/>
  <c r="M1142" i="1"/>
  <c r="L1142" i="1"/>
  <c r="K1142" i="1"/>
  <c r="J1142" i="1"/>
  <c r="I1142" i="1"/>
  <c r="H1142" i="1"/>
  <c r="F1142" i="1"/>
  <c r="E1142" i="1"/>
  <c r="D1142" i="1"/>
  <c r="C1142" i="1"/>
  <c r="B1142" i="1"/>
  <c r="AT1141" i="1"/>
  <c r="AS1141" i="1"/>
  <c r="AK1141" i="1"/>
  <c r="AG1141" i="1"/>
  <c r="AF1141" i="1"/>
  <c r="AE1141" i="1"/>
  <c r="AC1141" i="1"/>
  <c r="AA1141" i="1"/>
  <c r="Z1141" i="1"/>
  <c r="Y1141" i="1"/>
  <c r="W1141" i="1"/>
  <c r="O1141" i="1"/>
  <c r="N1141" i="1"/>
  <c r="M1141" i="1"/>
  <c r="L1141" i="1"/>
  <c r="K1141" i="1"/>
  <c r="J1141" i="1"/>
  <c r="I1141" i="1"/>
  <c r="H1141" i="1"/>
  <c r="F1141" i="1"/>
  <c r="E1141" i="1"/>
  <c r="D1141" i="1"/>
  <c r="C1141" i="1"/>
  <c r="B1141" i="1"/>
  <c r="AT1140" i="1"/>
  <c r="AS1140" i="1"/>
  <c r="AK1140" i="1"/>
  <c r="AG1140" i="1"/>
  <c r="AF1140" i="1"/>
  <c r="AE1140" i="1"/>
  <c r="AC1140" i="1"/>
  <c r="AA1140" i="1"/>
  <c r="Z1140" i="1"/>
  <c r="Y1140" i="1"/>
  <c r="W1140" i="1"/>
  <c r="O1140" i="1"/>
  <c r="N1140" i="1"/>
  <c r="M1140" i="1"/>
  <c r="L1140" i="1"/>
  <c r="K1140" i="1"/>
  <c r="J1140" i="1"/>
  <c r="I1140" i="1"/>
  <c r="H1140" i="1"/>
  <c r="G1140" i="1"/>
  <c r="F1140" i="1"/>
  <c r="E1140" i="1"/>
  <c r="D1140" i="1"/>
  <c r="C1140" i="1"/>
  <c r="B1140" i="1"/>
  <c r="AT1139" i="1"/>
  <c r="AS1139" i="1"/>
  <c r="AK1139" i="1"/>
  <c r="AG1139" i="1"/>
  <c r="AF1139" i="1"/>
  <c r="AE1139" i="1"/>
  <c r="AC1139" i="1"/>
  <c r="AA1139" i="1"/>
  <c r="Z1139" i="1"/>
  <c r="Y1139" i="1"/>
  <c r="W1139" i="1"/>
  <c r="O1139" i="1"/>
  <c r="N1139" i="1"/>
  <c r="M1139" i="1"/>
  <c r="L1139" i="1"/>
  <c r="K1139" i="1"/>
  <c r="J1139" i="1"/>
  <c r="I1139" i="1"/>
  <c r="H1139" i="1"/>
  <c r="F1139" i="1"/>
  <c r="E1139" i="1"/>
  <c r="D1139" i="1"/>
  <c r="C1139" i="1"/>
  <c r="B1139" i="1"/>
  <c r="AT1138" i="1"/>
  <c r="AS1138" i="1"/>
  <c r="AK1138" i="1"/>
  <c r="AG1138" i="1"/>
  <c r="AF1138" i="1"/>
  <c r="AE1138" i="1"/>
  <c r="AC1138" i="1"/>
  <c r="AA1138" i="1"/>
  <c r="Z1138" i="1"/>
  <c r="Y1138" i="1"/>
  <c r="W1138" i="1"/>
  <c r="O1138" i="1"/>
  <c r="N1138" i="1"/>
  <c r="M1138" i="1"/>
  <c r="L1138" i="1"/>
  <c r="K1138" i="1"/>
  <c r="J1138" i="1"/>
  <c r="I1138" i="1"/>
  <c r="H1138" i="1"/>
  <c r="F1138" i="1"/>
  <c r="E1138" i="1"/>
  <c r="D1138" i="1"/>
  <c r="C1138" i="1"/>
  <c r="B1138" i="1"/>
  <c r="AT1137" i="1"/>
  <c r="AS1137" i="1"/>
  <c r="AK1137" i="1"/>
  <c r="AG1137" i="1"/>
  <c r="AF1137" i="1"/>
  <c r="AE1137" i="1"/>
  <c r="AC1137" i="1"/>
  <c r="AA1137" i="1"/>
  <c r="Z1137" i="1"/>
  <c r="Y1137" i="1"/>
  <c r="W1137" i="1"/>
  <c r="O1137" i="1"/>
  <c r="N1137" i="1"/>
  <c r="M1137" i="1"/>
  <c r="L1137" i="1"/>
  <c r="K1137" i="1"/>
  <c r="J1137" i="1"/>
  <c r="I1137" i="1"/>
  <c r="H1137" i="1"/>
  <c r="F1137" i="1"/>
  <c r="E1137" i="1"/>
  <c r="D1137" i="1"/>
  <c r="C1137" i="1"/>
  <c r="B1137" i="1"/>
  <c r="AT1136" i="1"/>
  <c r="AS1136" i="1"/>
  <c r="AK1136" i="1"/>
  <c r="AG1136" i="1"/>
  <c r="AF1136" i="1"/>
  <c r="AE1136" i="1"/>
  <c r="AC1136" i="1"/>
  <c r="AA1136" i="1"/>
  <c r="Z1136" i="1"/>
  <c r="Y1136" i="1"/>
  <c r="W1136" i="1"/>
  <c r="O1136" i="1"/>
  <c r="N1136" i="1"/>
  <c r="M1136" i="1"/>
  <c r="L1136" i="1"/>
  <c r="K1136" i="1"/>
  <c r="J1136" i="1"/>
  <c r="I1136" i="1"/>
  <c r="H1136" i="1"/>
  <c r="F1136" i="1"/>
  <c r="E1136" i="1"/>
  <c r="D1136" i="1"/>
  <c r="C1136" i="1"/>
  <c r="B1136" i="1"/>
  <c r="AT1135" i="1"/>
  <c r="AS1135" i="1"/>
  <c r="AK1135" i="1"/>
  <c r="AG1135" i="1"/>
  <c r="AF1135" i="1"/>
  <c r="AE1135" i="1"/>
  <c r="AC1135" i="1"/>
  <c r="AA1135" i="1"/>
  <c r="Z1135" i="1"/>
  <c r="Y1135" i="1"/>
  <c r="W1135" i="1"/>
  <c r="O1135" i="1"/>
  <c r="N1135" i="1"/>
  <c r="M1135" i="1"/>
  <c r="L1135" i="1"/>
  <c r="K1135" i="1"/>
  <c r="J1135" i="1"/>
  <c r="I1135" i="1"/>
  <c r="H1135" i="1"/>
  <c r="G1135" i="1"/>
  <c r="F1135" i="1"/>
  <c r="E1135" i="1"/>
  <c r="D1135" i="1"/>
  <c r="C1135" i="1"/>
  <c r="B1135" i="1"/>
  <c r="AT1134" i="1"/>
  <c r="AS1134" i="1"/>
  <c r="AK1134" i="1"/>
  <c r="AG1134" i="1"/>
  <c r="AF1134" i="1"/>
  <c r="AE1134" i="1"/>
  <c r="AC1134" i="1"/>
  <c r="AA1134" i="1"/>
  <c r="Z1134" i="1"/>
  <c r="Y1134" i="1"/>
  <c r="W1134" i="1"/>
  <c r="O1134" i="1"/>
  <c r="N1134" i="1"/>
  <c r="M1134" i="1"/>
  <c r="L1134" i="1"/>
  <c r="K1134" i="1"/>
  <c r="J1134" i="1"/>
  <c r="I1134" i="1"/>
  <c r="H1134" i="1"/>
  <c r="F1134" i="1"/>
  <c r="E1134" i="1"/>
  <c r="D1134" i="1"/>
  <c r="C1134" i="1"/>
  <c r="B1134" i="1"/>
  <c r="AT1133" i="1"/>
  <c r="AS1133" i="1"/>
  <c r="AK1133" i="1"/>
  <c r="AG1133" i="1"/>
  <c r="AF1133" i="1"/>
  <c r="AE1133" i="1"/>
  <c r="AC1133" i="1"/>
  <c r="AA1133" i="1"/>
  <c r="Z1133" i="1"/>
  <c r="Y1133" i="1"/>
  <c r="W1133" i="1"/>
  <c r="O1133" i="1"/>
  <c r="N1133" i="1"/>
  <c r="M1133" i="1"/>
  <c r="L1133" i="1"/>
  <c r="K1133" i="1"/>
  <c r="J1133" i="1"/>
  <c r="I1133" i="1"/>
  <c r="H1133" i="1"/>
  <c r="F1133" i="1"/>
  <c r="E1133" i="1"/>
  <c r="D1133" i="1"/>
  <c r="C1133" i="1"/>
  <c r="B1133" i="1"/>
  <c r="AT1132" i="1"/>
  <c r="AS1132" i="1"/>
  <c r="AK1132" i="1"/>
  <c r="AG1132" i="1"/>
  <c r="AF1132" i="1"/>
  <c r="AE1132" i="1"/>
  <c r="AC1132" i="1"/>
  <c r="AA1132" i="1"/>
  <c r="Z1132" i="1"/>
  <c r="Y1132" i="1"/>
  <c r="W1132" i="1"/>
  <c r="O1132" i="1"/>
  <c r="N1132" i="1"/>
  <c r="M1132" i="1"/>
  <c r="L1132" i="1"/>
  <c r="K1132" i="1"/>
  <c r="J1132" i="1"/>
  <c r="I1132" i="1"/>
  <c r="H1132" i="1"/>
  <c r="F1132" i="1"/>
  <c r="E1132" i="1"/>
  <c r="D1132" i="1"/>
  <c r="C1132" i="1"/>
  <c r="B1132" i="1"/>
  <c r="AT1131" i="1"/>
  <c r="AS1131" i="1"/>
  <c r="AK1131" i="1"/>
  <c r="AG1131" i="1"/>
  <c r="AF1131" i="1"/>
  <c r="AE1131" i="1"/>
  <c r="AC1131" i="1"/>
  <c r="AA1131" i="1"/>
  <c r="Z1131" i="1"/>
  <c r="Y1131" i="1"/>
  <c r="W1131" i="1"/>
  <c r="O1131" i="1"/>
  <c r="N1131" i="1"/>
  <c r="M1131" i="1"/>
  <c r="L1131" i="1"/>
  <c r="K1131" i="1"/>
  <c r="J1131" i="1"/>
  <c r="I1131" i="1"/>
  <c r="H1131" i="1"/>
  <c r="F1131" i="1"/>
  <c r="E1131" i="1"/>
  <c r="D1131" i="1"/>
  <c r="C1131" i="1"/>
  <c r="B1131" i="1"/>
  <c r="AT1130" i="1"/>
  <c r="AS1130" i="1"/>
  <c r="AK1130" i="1"/>
  <c r="AG1130" i="1"/>
  <c r="AF1130" i="1"/>
  <c r="AE1130" i="1"/>
  <c r="AC1130" i="1"/>
  <c r="AA1130" i="1"/>
  <c r="Z1130" i="1"/>
  <c r="Y1130" i="1"/>
  <c r="W1130" i="1"/>
  <c r="O1130" i="1"/>
  <c r="N1130" i="1"/>
  <c r="M1130" i="1"/>
  <c r="L1130" i="1"/>
  <c r="K1130" i="1"/>
  <c r="J1130" i="1"/>
  <c r="I1130" i="1"/>
  <c r="H1130" i="1"/>
  <c r="F1130" i="1"/>
  <c r="E1130" i="1"/>
  <c r="D1130" i="1"/>
  <c r="C1130" i="1"/>
  <c r="B1130" i="1"/>
  <c r="AT1129" i="1"/>
  <c r="AS1129" i="1"/>
  <c r="AK1129" i="1"/>
  <c r="AG1129" i="1"/>
  <c r="AF1129" i="1"/>
  <c r="AE1129" i="1"/>
  <c r="AC1129" i="1"/>
  <c r="AA1129" i="1"/>
  <c r="Z1129" i="1"/>
  <c r="Y1129" i="1"/>
  <c r="W1129" i="1"/>
  <c r="O1129" i="1"/>
  <c r="N1129" i="1"/>
  <c r="M1129" i="1"/>
  <c r="L1129" i="1"/>
  <c r="K1129" i="1"/>
  <c r="J1129" i="1"/>
  <c r="I1129" i="1"/>
  <c r="H1129" i="1"/>
  <c r="F1129" i="1"/>
  <c r="E1129" i="1"/>
  <c r="D1129" i="1"/>
  <c r="C1129" i="1"/>
  <c r="B1129" i="1"/>
  <c r="AT1128" i="1"/>
  <c r="AS1128" i="1"/>
  <c r="AK1128" i="1"/>
  <c r="AG1128" i="1"/>
  <c r="AF1128" i="1"/>
  <c r="AE1128" i="1"/>
  <c r="AC1128" i="1"/>
  <c r="AA1128" i="1"/>
  <c r="Z1128" i="1"/>
  <c r="Y1128" i="1"/>
  <c r="W1128" i="1"/>
  <c r="O1128" i="1"/>
  <c r="N1128" i="1"/>
  <c r="M1128" i="1"/>
  <c r="L1128" i="1"/>
  <c r="K1128" i="1"/>
  <c r="J1128" i="1"/>
  <c r="I1128" i="1"/>
  <c r="H1128" i="1"/>
  <c r="F1128" i="1"/>
  <c r="E1128" i="1"/>
  <c r="D1128" i="1"/>
  <c r="C1128" i="1"/>
  <c r="B1128" i="1"/>
  <c r="AT1127" i="1"/>
  <c r="AS1127" i="1"/>
  <c r="AK1127" i="1"/>
  <c r="AG1127" i="1"/>
  <c r="AF1127" i="1"/>
  <c r="AE1127" i="1"/>
  <c r="AC1127" i="1"/>
  <c r="AA1127" i="1"/>
  <c r="Z1127" i="1"/>
  <c r="Y1127" i="1"/>
  <c r="W1127" i="1"/>
  <c r="U1127" i="1"/>
  <c r="T1127" i="1"/>
  <c r="S1127" i="1"/>
  <c r="O1127" i="1"/>
  <c r="N1127" i="1"/>
  <c r="M1127" i="1"/>
  <c r="L1127" i="1"/>
  <c r="K1127" i="1"/>
  <c r="J1127" i="1"/>
  <c r="I1127" i="1"/>
  <c r="H1127" i="1"/>
  <c r="F1127" i="1"/>
  <c r="E1127" i="1"/>
  <c r="D1127" i="1"/>
  <c r="C1127" i="1"/>
  <c r="B1127" i="1"/>
  <c r="AT1126" i="1"/>
  <c r="AS1126" i="1"/>
  <c r="AK1126" i="1"/>
  <c r="AG1126" i="1"/>
  <c r="AF1126" i="1"/>
  <c r="AE1126" i="1"/>
  <c r="AC1126" i="1"/>
  <c r="AA1126" i="1"/>
  <c r="Z1126" i="1"/>
  <c r="Y1126" i="1"/>
  <c r="W1126" i="1"/>
  <c r="O1126" i="1"/>
  <c r="N1126" i="1"/>
  <c r="M1126" i="1"/>
  <c r="L1126" i="1"/>
  <c r="K1126" i="1"/>
  <c r="J1126" i="1"/>
  <c r="I1126" i="1"/>
  <c r="H1126" i="1"/>
  <c r="F1126" i="1"/>
  <c r="E1126" i="1"/>
  <c r="D1126" i="1"/>
  <c r="C1126" i="1"/>
  <c r="B1126" i="1"/>
  <c r="AT1125" i="1"/>
  <c r="AS1125" i="1"/>
  <c r="AK1125" i="1"/>
  <c r="AG1125" i="1"/>
  <c r="AF1125" i="1"/>
  <c r="AE1125" i="1"/>
  <c r="AC1125" i="1"/>
  <c r="AA1125" i="1"/>
  <c r="Z1125" i="1"/>
  <c r="Y1125" i="1"/>
  <c r="W1125" i="1"/>
  <c r="O1125" i="1"/>
  <c r="N1125" i="1"/>
  <c r="M1125" i="1"/>
  <c r="L1125" i="1"/>
  <c r="K1125" i="1"/>
  <c r="J1125" i="1"/>
  <c r="I1125" i="1"/>
  <c r="H1125" i="1"/>
  <c r="F1125" i="1"/>
  <c r="E1125" i="1"/>
  <c r="D1125" i="1"/>
  <c r="C1125" i="1"/>
  <c r="B1125" i="1"/>
  <c r="AT1124" i="1"/>
  <c r="AS1124" i="1"/>
  <c r="AK1124" i="1"/>
  <c r="AG1124" i="1"/>
  <c r="AF1124" i="1"/>
  <c r="AE1124" i="1"/>
  <c r="AC1124" i="1"/>
  <c r="AA1124" i="1"/>
  <c r="Z1124" i="1"/>
  <c r="Y1124" i="1"/>
  <c r="W1124" i="1"/>
  <c r="O1124" i="1"/>
  <c r="N1124" i="1"/>
  <c r="M1124" i="1"/>
  <c r="L1124" i="1"/>
  <c r="K1124" i="1"/>
  <c r="J1124" i="1"/>
  <c r="I1124" i="1"/>
  <c r="H1124" i="1"/>
  <c r="F1124" i="1"/>
  <c r="E1124" i="1"/>
  <c r="D1124" i="1"/>
  <c r="C1124" i="1"/>
  <c r="B1124" i="1"/>
  <c r="AT1123" i="1"/>
  <c r="AS1123" i="1"/>
  <c r="AK1123" i="1"/>
  <c r="AG1123" i="1"/>
  <c r="AF1123" i="1"/>
  <c r="AE1123" i="1"/>
  <c r="AC1123" i="1"/>
  <c r="AA1123" i="1"/>
  <c r="Z1123" i="1"/>
  <c r="Y1123" i="1"/>
  <c r="W1123" i="1"/>
  <c r="O1123" i="1"/>
  <c r="N1123" i="1"/>
  <c r="M1123" i="1"/>
  <c r="L1123" i="1"/>
  <c r="K1123" i="1"/>
  <c r="J1123" i="1"/>
  <c r="I1123" i="1"/>
  <c r="H1123" i="1"/>
  <c r="F1123" i="1"/>
  <c r="E1123" i="1"/>
  <c r="D1123" i="1"/>
  <c r="C1123" i="1"/>
  <c r="B1123" i="1"/>
  <c r="AT1122" i="1"/>
  <c r="AS1122" i="1"/>
  <c r="AK1122" i="1"/>
  <c r="AG1122" i="1"/>
  <c r="AF1122" i="1"/>
  <c r="AE1122" i="1"/>
  <c r="AC1122" i="1"/>
  <c r="AA1122" i="1"/>
  <c r="Z1122" i="1"/>
  <c r="Y1122" i="1"/>
  <c r="W1122" i="1"/>
  <c r="O1122" i="1"/>
  <c r="N1122" i="1"/>
  <c r="M1122" i="1"/>
  <c r="L1122" i="1"/>
  <c r="K1122" i="1"/>
  <c r="J1122" i="1"/>
  <c r="I1122" i="1"/>
  <c r="H1122" i="1"/>
  <c r="F1122" i="1"/>
  <c r="E1122" i="1"/>
  <c r="D1122" i="1"/>
  <c r="C1122" i="1"/>
  <c r="B1122" i="1"/>
  <c r="AT1121" i="1"/>
  <c r="AS1121" i="1"/>
  <c r="AK1121" i="1"/>
  <c r="AG1121" i="1"/>
  <c r="AF1121" i="1"/>
  <c r="AE1121" i="1"/>
  <c r="AC1121" i="1"/>
  <c r="AA1121" i="1"/>
  <c r="Z1121" i="1"/>
  <c r="Y1121" i="1"/>
  <c r="W1121" i="1"/>
  <c r="O1121" i="1"/>
  <c r="N1121" i="1"/>
  <c r="M1121" i="1"/>
  <c r="L1121" i="1"/>
  <c r="K1121" i="1"/>
  <c r="J1121" i="1"/>
  <c r="I1121" i="1"/>
  <c r="H1121" i="1"/>
  <c r="F1121" i="1"/>
  <c r="E1121" i="1"/>
  <c r="D1121" i="1"/>
  <c r="C1121" i="1"/>
  <c r="B1121" i="1"/>
  <c r="AT1120" i="1"/>
  <c r="AS1120" i="1"/>
  <c r="AK1120" i="1"/>
  <c r="AG1120" i="1"/>
  <c r="AF1120" i="1"/>
  <c r="AE1120" i="1"/>
  <c r="AC1120" i="1"/>
  <c r="AA1120" i="1"/>
  <c r="Z1120" i="1"/>
  <c r="Y1120" i="1"/>
  <c r="W1120" i="1"/>
  <c r="O1120" i="1"/>
  <c r="N1120" i="1"/>
  <c r="M1120" i="1"/>
  <c r="L1120" i="1"/>
  <c r="K1120" i="1"/>
  <c r="J1120" i="1"/>
  <c r="I1120" i="1"/>
  <c r="H1120" i="1"/>
  <c r="F1120" i="1"/>
  <c r="E1120" i="1"/>
  <c r="D1120" i="1"/>
  <c r="C1120" i="1"/>
  <c r="B1120" i="1"/>
  <c r="AT1119" i="1"/>
  <c r="AS1119" i="1"/>
  <c r="AK1119" i="1"/>
  <c r="AG1119" i="1"/>
  <c r="AF1119" i="1"/>
  <c r="AE1119" i="1"/>
  <c r="AC1119" i="1"/>
  <c r="AA1119" i="1"/>
  <c r="Z1119" i="1"/>
  <c r="Y1119" i="1"/>
  <c r="W1119" i="1"/>
  <c r="O1119" i="1"/>
  <c r="N1119" i="1"/>
  <c r="M1119" i="1"/>
  <c r="L1119" i="1"/>
  <c r="K1119" i="1"/>
  <c r="J1119" i="1"/>
  <c r="I1119" i="1"/>
  <c r="H1119" i="1"/>
  <c r="F1119" i="1"/>
  <c r="E1119" i="1"/>
  <c r="D1119" i="1"/>
  <c r="C1119" i="1"/>
  <c r="B1119" i="1"/>
  <c r="AT1118" i="1"/>
  <c r="AS1118" i="1"/>
  <c r="AK1118" i="1"/>
  <c r="AG1118" i="1"/>
  <c r="AF1118" i="1"/>
  <c r="AE1118" i="1"/>
  <c r="AC1118" i="1"/>
  <c r="AA1118" i="1"/>
  <c r="Z1118" i="1"/>
  <c r="Y1118" i="1"/>
  <c r="W1118" i="1"/>
  <c r="O1118" i="1"/>
  <c r="N1118" i="1"/>
  <c r="M1118" i="1"/>
  <c r="L1118" i="1"/>
  <c r="K1118" i="1"/>
  <c r="J1118" i="1"/>
  <c r="I1118" i="1"/>
  <c r="H1118" i="1"/>
  <c r="F1118" i="1"/>
  <c r="E1118" i="1"/>
  <c r="D1118" i="1"/>
  <c r="C1118" i="1"/>
  <c r="B1118" i="1"/>
  <c r="AT1117" i="1"/>
  <c r="AS1117" i="1"/>
  <c r="AK1117" i="1"/>
  <c r="AG1117" i="1"/>
  <c r="AF1117" i="1"/>
  <c r="AE1117" i="1"/>
  <c r="AC1117" i="1"/>
  <c r="AA1117" i="1"/>
  <c r="Z1117" i="1"/>
  <c r="Y1117" i="1"/>
  <c r="W1117" i="1"/>
  <c r="U1117" i="1"/>
  <c r="T1117" i="1"/>
  <c r="S1117" i="1"/>
  <c r="O1117" i="1"/>
  <c r="N1117" i="1"/>
  <c r="M1117" i="1"/>
  <c r="L1117" i="1"/>
  <c r="K1117" i="1"/>
  <c r="J1117" i="1"/>
  <c r="I1117" i="1"/>
  <c r="H1117" i="1"/>
  <c r="F1117" i="1"/>
  <c r="E1117" i="1"/>
  <c r="D1117" i="1"/>
  <c r="C1117" i="1"/>
  <c r="B1117" i="1"/>
  <c r="AT1116" i="1"/>
  <c r="AS1116" i="1"/>
  <c r="AK1116" i="1"/>
  <c r="AG1116" i="1"/>
  <c r="AF1116" i="1"/>
  <c r="AE1116" i="1"/>
  <c r="AC1116" i="1"/>
  <c r="AA1116" i="1"/>
  <c r="Z1116" i="1"/>
  <c r="Y1116" i="1"/>
  <c r="W1116" i="1"/>
  <c r="O1116" i="1"/>
  <c r="N1116" i="1"/>
  <c r="M1116" i="1"/>
  <c r="L1116" i="1"/>
  <c r="K1116" i="1"/>
  <c r="J1116" i="1"/>
  <c r="I1116" i="1"/>
  <c r="H1116" i="1"/>
  <c r="G1116" i="1"/>
  <c r="F1116" i="1"/>
  <c r="E1116" i="1"/>
  <c r="D1116" i="1"/>
  <c r="C1116" i="1"/>
  <c r="B1116" i="1"/>
  <c r="AT1115" i="1"/>
  <c r="AS1115" i="1"/>
  <c r="AK1115" i="1"/>
  <c r="AG1115" i="1"/>
  <c r="AF1115" i="1"/>
  <c r="AE1115" i="1"/>
  <c r="AC1115" i="1"/>
  <c r="AA1115" i="1"/>
  <c r="Z1115" i="1"/>
  <c r="Y1115" i="1"/>
  <c r="W1115" i="1"/>
  <c r="O1115" i="1"/>
  <c r="N1115" i="1"/>
  <c r="M1115" i="1"/>
  <c r="L1115" i="1"/>
  <c r="K1115" i="1"/>
  <c r="J1115" i="1"/>
  <c r="I1115" i="1"/>
  <c r="H1115" i="1"/>
  <c r="F1115" i="1"/>
  <c r="E1115" i="1"/>
  <c r="D1115" i="1"/>
  <c r="C1115" i="1"/>
  <c r="B1115" i="1"/>
  <c r="AT1114" i="1"/>
  <c r="AS1114" i="1"/>
  <c r="AK1114" i="1"/>
  <c r="AG1114" i="1"/>
  <c r="AF1114" i="1"/>
  <c r="AE1114" i="1"/>
  <c r="AC1114" i="1"/>
  <c r="AA1114" i="1"/>
  <c r="Z1114" i="1"/>
  <c r="Y1114" i="1"/>
  <c r="W1114" i="1"/>
  <c r="O1114" i="1"/>
  <c r="N1114" i="1"/>
  <c r="M1114" i="1"/>
  <c r="L1114" i="1"/>
  <c r="K1114" i="1"/>
  <c r="J1114" i="1"/>
  <c r="I1114" i="1"/>
  <c r="H1114" i="1"/>
  <c r="G1114" i="1"/>
  <c r="F1114" i="1"/>
  <c r="E1114" i="1"/>
  <c r="D1114" i="1"/>
  <c r="C1114" i="1"/>
  <c r="B1114" i="1"/>
  <c r="AT1113" i="1"/>
  <c r="AS1113" i="1"/>
  <c r="AK1113" i="1"/>
  <c r="AG1113" i="1"/>
  <c r="AF1113" i="1"/>
  <c r="AE1113" i="1"/>
  <c r="AC1113" i="1"/>
  <c r="AA1113" i="1"/>
  <c r="Z1113" i="1"/>
  <c r="Y1113" i="1"/>
  <c r="W1113" i="1"/>
  <c r="O1113" i="1"/>
  <c r="N1113" i="1"/>
  <c r="M1113" i="1"/>
  <c r="L1113" i="1"/>
  <c r="K1113" i="1"/>
  <c r="J1113" i="1"/>
  <c r="I1113" i="1"/>
  <c r="H1113" i="1"/>
  <c r="F1113" i="1"/>
  <c r="E1113" i="1"/>
  <c r="D1113" i="1"/>
  <c r="C1113" i="1"/>
  <c r="B1113" i="1"/>
  <c r="AT1112" i="1"/>
  <c r="AS1112" i="1"/>
  <c r="AK1112" i="1"/>
  <c r="AG1112" i="1"/>
  <c r="AF1112" i="1"/>
  <c r="AE1112" i="1"/>
  <c r="AC1112" i="1"/>
  <c r="AA1112" i="1"/>
  <c r="Z1112" i="1"/>
  <c r="Y1112" i="1"/>
  <c r="W1112" i="1"/>
  <c r="O1112" i="1"/>
  <c r="N1112" i="1"/>
  <c r="M1112" i="1"/>
  <c r="L1112" i="1"/>
  <c r="K1112" i="1"/>
  <c r="J1112" i="1"/>
  <c r="I1112" i="1"/>
  <c r="H1112" i="1"/>
  <c r="F1112" i="1"/>
  <c r="E1112" i="1"/>
  <c r="D1112" i="1"/>
  <c r="C1112" i="1"/>
  <c r="B1112" i="1"/>
  <c r="AT1111" i="1"/>
  <c r="AS1111" i="1"/>
  <c r="AK1111" i="1"/>
  <c r="AG1111" i="1"/>
  <c r="AF1111" i="1"/>
  <c r="AE1111" i="1"/>
  <c r="AC1111" i="1"/>
  <c r="AA1111" i="1"/>
  <c r="Z1111" i="1"/>
  <c r="Y1111" i="1"/>
  <c r="W1111" i="1"/>
  <c r="O1111" i="1"/>
  <c r="N1111" i="1"/>
  <c r="M1111" i="1"/>
  <c r="L1111" i="1"/>
  <c r="K1111" i="1"/>
  <c r="J1111" i="1"/>
  <c r="I1111" i="1"/>
  <c r="H1111" i="1"/>
  <c r="F1111" i="1"/>
  <c r="E1111" i="1"/>
  <c r="D1111" i="1"/>
  <c r="C1111" i="1"/>
  <c r="B1111" i="1"/>
  <c r="AT1110" i="1"/>
  <c r="AS1110" i="1"/>
  <c r="AK1110" i="1"/>
  <c r="AG1110" i="1"/>
  <c r="AF1110" i="1"/>
  <c r="AE1110" i="1"/>
  <c r="AC1110" i="1"/>
  <c r="AA1110" i="1"/>
  <c r="Z1110" i="1"/>
  <c r="Y1110" i="1"/>
  <c r="W1110" i="1"/>
  <c r="O1110" i="1"/>
  <c r="N1110" i="1"/>
  <c r="M1110" i="1"/>
  <c r="L1110" i="1"/>
  <c r="K1110" i="1"/>
  <c r="J1110" i="1"/>
  <c r="I1110" i="1"/>
  <c r="H1110" i="1"/>
  <c r="F1110" i="1"/>
  <c r="E1110" i="1"/>
  <c r="D1110" i="1"/>
  <c r="C1110" i="1"/>
  <c r="B1110" i="1"/>
  <c r="AT1109" i="1"/>
  <c r="AS1109" i="1"/>
  <c r="AK1109" i="1"/>
  <c r="AG1109" i="1"/>
  <c r="AF1109" i="1"/>
  <c r="AE1109" i="1"/>
  <c r="AC1109" i="1"/>
  <c r="AA1109" i="1"/>
  <c r="Z1109" i="1"/>
  <c r="Y1109" i="1"/>
  <c r="W1109" i="1"/>
  <c r="O1109" i="1"/>
  <c r="N1109" i="1"/>
  <c r="M1109" i="1"/>
  <c r="L1109" i="1"/>
  <c r="K1109" i="1"/>
  <c r="J1109" i="1"/>
  <c r="I1109" i="1"/>
  <c r="H1109" i="1"/>
  <c r="F1109" i="1"/>
  <c r="E1109" i="1"/>
  <c r="D1109" i="1"/>
  <c r="C1109" i="1"/>
  <c r="B1109" i="1"/>
  <c r="AT1108" i="1"/>
  <c r="AS1108" i="1"/>
  <c r="AK1108" i="1"/>
  <c r="AG1108" i="1"/>
  <c r="AF1108" i="1"/>
  <c r="AE1108" i="1"/>
  <c r="AC1108" i="1"/>
  <c r="AA1108" i="1"/>
  <c r="Z1108" i="1"/>
  <c r="Y1108" i="1"/>
  <c r="W1108" i="1"/>
  <c r="O1108" i="1"/>
  <c r="N1108" i="1"/>
  <c r="M1108" i="1"/>
  <c r="L1108" i="1"/>
  <c r="K1108" i="1"/>
  <c r="J1108" i="1"/>
  <c r="I1108" i="1"/>
  <c r="H1108" i="1"/>
  <c r="F1108" i="1"/>
  <c r="E1108" i="1"/>
  <c r="D1108" i="1"/>
  <c r="C1108" i="1"/>
  <c r="B1108" i="1"/>
  <c r="AT1107" i="1"/>
  <c r="AS1107" i="1"/>
  <c r="AK1107" i="1"/>
  <c r="AG1107" i="1"/>
  <c r="AF1107" i="1"/>
  <c r="AE1107" i="1"/>
  <c r="AC1107" i="1"/>
  <c r="AA1107" i="1"/>
  <c r="Z1107" i="1"/>
  <c r="Y1107" i="1"/>
  <c r="W1107" i="1"/>
  <c r="O1107" i="1"/>
  <c r="N1107" i="1"/>
  <c r="M1107" i="1"/>
  <c r="L1107" i="1"/>
  <c r="K1107" i="1"/>
  <c r="J1107" i="1"/>
  <c r="I1107" i="1"/>
  <c r="H1107" i="1"/>
  <c r="F1107" i="1"/>
  <c r="E1107" i="1"/>
  <c r="D1107" i="1"/>
  <c r="C1107" i="1"/>
  <c r="B1107" i="1"/>
  <c r="AT1106" i="1"/>
  <c r="AS1106" i="1"/>
  <c r="AK1106" i="1"/>
  <c r="AG1106" i="1"/>
  <c r="AF1106" i="1"/>
  <c r="AE1106" i="1"/>
  <c r="AC1106" i="1"/>
  <c r="AA1106" i="1"/>
  <c r="Z1106" i="1"/>
  <c r="Y1106" i="1"/>
  <c r="W1106" i="1"/>
  <c r="O1106" i="1"/>
  <c r="N1106" i="1"/>
  <c r="M1106" i="1"/>
  <c r="L1106" i="1"/>
  <c r="K1106" i="1"/>
  <c r="J1106" i="1"/>
  <c r="I1106" i="1"/>
  <c r="H1106" i="1"/>
  <c r="G1106" i="1"/>
  <c r="F1106" i="1"/>
  <c r="E1106" i="1"/>
  <c r="D1106" i="1"/>
  <c r="C1106" i="1"/>
  <c r="B1106" i="1"/>
  <c r="AT1105" i="1"/>
  <c r="AS1105" i="1"/>
  <c r="AK1105" i="1"/>
  <c r="AG1105" i="1"/>
  <c r="AF1105" i="1"/>
  <c r="AE1105" i="1"/>
  <c r="AC1105" i="1"/>
  <c r="AA1105" i="1"/>
  <c r="Z1105" i="1"/>
  <c r="Y1105" i="1"/>
  <c r="W1105" i="1"/>
  <c r="O1105" i="1"/>
  <c r="N1105" i="1"/>
  <c r="M1105" i="1"/>
  <c r="L1105" i="1"/>
  <c r="K1105" i="1"/>
  <c r="J1105" i="1"/>
  <c r="I1105" i="1"/>
  <c r="H1105" i="1"/>
  <c r="F1105" i="1"/>
  <c r="E1105" i="1"/>
  <c r="D1105" i="1"/>
  <c r="C1105" i="1"/>
  <c r="B1105" i="1"/>
  <c r="AT1104" i="1"/>
  <c r="AS1104" i="1"/>
  <c r="AK1104" i="1"/>
  <c r="AG1104" i="1"/>
  <c r="AF1104" i="1"/>
  <c r="AE1104" i="1"/>
  <c r="AC1104" i="1"/>
  <c r="AA1104" i="1"/>
  <c r="Z1104" i="1"/>
  <c r="Y1104" i="1"/>
  <c r="W1104" i="1"/>
  <c r="U1104" i="1"/>
  <c r="T1104" i="1"/>
  <c r="S1104" i="1"/>
  <c r="O1104" i="1"/>
  <c r="N1104" i="1"/>
  <c r="M1104" i="1"/>
  <c r="L1104" i="1"/>
  <c r="K1104" i="1"/>
  <c r="J1104" i="1"/>
  <c r="I1104" i="1"/>
  <c r="H1104" i="1"/>
  <c r="F1104" i="1"/>
  <c r="E1104" i="1"/>
  <c r="D1104" i="1"/>
  <c r="C1104" i="1"/>
  <c r="B1104" i="1"/>
  <c r="AT1103" i="1"/>
  <c r="AS1103" i="1"/>
  <c r="AK1103" i="1"/>
  <c r="AG1103" i="1"/>
  <c r="AF1103" i="1"/>
  <c r="AE1103" i="1"/>
  <c r="AC1103" i="1"/>
  <c r="AA1103" i="1"/>
  <c r="Z1103" i="1"/>
  <c r="Y1103" i="1"/>
  <c r="W1103" i="1"/>
  <c r="O1103" i="1"/>
  <c r="N1103" i="1"/>
  <c r="M1103" i="1"/>
  <c r="L1103" i="1"/>
  <c r="K1103" i="1"/>
  <c r="J1103" i="1"/>
  <c r="I1103" i="1"/>
  <c r="H1103" i="1"/>
  <c r="F1103" i="1"/>
  <c r="E1103" i="1"/>
  <c r="D1103" i="1"/>
  <c r="C1103" i="1"/>
  <c r="B1103" i="1"/>
  <c r="AT1102" i="1"/>
  <c r="AS1102" i="1"/>
  <c r="AK1102" i="1"/>
  <c r="AG1102" i="1"/>
  <c r="AF1102" i="1"/>
  <c r="AE1102" i="1"/>
  <c r="AC1102" i="1"/>
  <c r="AA1102" i="1"/>
  <c r="Z1102" i="1"/>
  <c r="Y1102" i="1"/>
  <c r="W1102" i="1"/>
  <c r="O1102" i="1"/>
  <c r="N1102" i="1"/>
  <c r="M1102" i="1"/>
  <c r="L1102" i="1"/>
  <c r="K1102" i="1"/>
  <c r="J1102" i="1"/>
  <c r="I1102" i="1"/>
  <c r="H1102" i="1"/>
  <c r="F1102" i="1"/>
  <c r="E1102" i="1"/>
  <c r="D1102" i="1"/>
  <c r="C1102" i="1"/>
  <c r="B1102" i="1"/>
  <c r="AT1101" i="1"/>
  <c r="AS1101" i="1"/>
  <c r="AK1101" i="1"/>
  <c r="AG1101" i="1"/>
  <c r="AF1101" i="1"/>
  <c r="AE1101" i="1"/>
  <c r="AC1101" i="1"/>
  <c r="AA1101" i="1"/>
  <c r="Z1101" i="1"/>
  <c r="Y1101" i="1"/>
  <c r="W1101" i="1"/>
  <c r="U1101" i="1"/>
  <c r="T1101" i="1"/>
  <c r="S1101" i="1"/>
  <c r="O1101" i="1"/>
  <c r="N1101" i="1"/>
  <c r="M1101" i="1"/>
  <c r="L1101" i="1"/>
  <c r="K1101" i="1"/>
  <c r="J1101" i="1"/>
  <c r="I1101" i="1"/>
  <c r="H1101" i="1"/>
  <c r="F1101" i="1"/>
  <c r="E1101" i="1"/>
  <c r="D1101" i="1"/>
  <c r="C1101" i="1"/>
  <c r="B1101" i="1"/>
  <c r="AT1100" i="1"/>
  <c r="AS1100" i="1"/>
  <c r="AK1100" i="1"/>
  <c r="AG1100" i="1"/>
  <c r="AF1100" i="1"/>
  <c r="AE1100" i="1"/>
  <c r="AC1100" i="1"/>
  <c r="AA1100" i="1"/>
  <c r="Z1100" i="1"/>
  <c r="Y1100" i="1"/>
  <c r="W1100" i="1"/>
  <c r="O1100" i="1"/>
  <c r="N1100" i="1"/>
  <c r="M1100" i="1"/>
  <c r="L1100" i="1"/>
  <c r="K1100" i="1"/>
  <c r="J1100" i="1"/>
  <c r="I1100" i="1"/>
  <c r="H1100" i="1"/>
  <c r="F1100" i="1"/>
  <c r="E1100" i="1"/>
  <c r="D1100" i="1"/>
  <c r="C1100" i="1"/>
  <c r="B1100" i="1"/>
  <c r="AT1099" i="1"/>
  <c r="AS1099" i="1"/>
  <c r="AK1099" i="1"/>
  <c r="AG1099" i="1"/>
  <c r="AF1099" i="1"/>
  <c r="AE1099" i="1"/>
  <c r="AC1099" i="1"/>
  <c r="AA1099" i="1"/>
  <c r="Z1099" i="1"/>
  <c r="Y1099" i="1"/>
  <c r="W1099" i="1"/>
  <c r="O1099" i="1"/>
  <c r="N1099" i="1"/>
  <c r="M1099" i="1"/>
  <c r="L1099" i="1"/>
  <c r="K1099" i="1"/>
  <c r="J1099" i="1"/>
  <c r="I1099" i="1"/>
  <c r="H1099" i="1"/>
  <c r="F1099" i="1"/>
  <c r="E1099" i="1"/>
  <c r="D1099" i="1"/>
  <c r="C1099" i="1"/>
  <c r="B1099" i="1"/>
  <c r="AT1098" i="1"/>
  <c r="AS1098" i="1"/>
  <c r="AK1098" i="1"/>
  <c r="AG1098" i="1"/>
  <c r="AF1098" i="1"/>
  <c r="AE1098" i="1"/>
  <c r="AC1098" i="1"/>
  <c r="AA1098" i="1"/>
  <c r="Z1098" i="1"/>
  <c r="Y1098" i="1"/>
  <c r="W1098" i="1"/>
  <c r="O1098" i="1"/>
  <c r="N1098" i="1"/>
  <c r="M1098" i="1"/>
  <c r="L1098" i="1"/>
  <c r="K1098" i="1"/>
  <c r="J1098" i="1"/>
  <c r="I1098" i="1"/>
  <c r="H1098" i="1"/>
  <c r="F1098" i="1"/>
  <c r="E1098" i="1"/>
  <c r="D1098" i="1"/>
  <c r="C1098" i="1"/>
  <c r="B1098" i="1"/>
  <c r="AT1097" i="1"/>
  <c r="AS1097" i="1"/>
  <c r="AK1097" i="1"/>
  <c r="AG1097" i="1"/>
  <c r="AF1097" i="1"/>
  <c r="AE1097" i="1"/>
  <c r="AC1097" i="1"/>
  <c r="AA1097" i="1"/>
  <c r="Z1097" i="1"/>
  <c r="Y1097" i="1"/>
  <c r="W1097" i="1"/>
  <c r="O1097" i="1"/>
  <c r="N1097" i="1"/>
  <c r="M1097" i="1"/>
  <c r="L1097" i="1"/>
  <c r="K1097" i="1"/>
  <c r="J1097" i="1"/>
  <c r="I1097" i="1"/>
  <c r="H1097" i="1"/>
  <c r="F1097" i="1"/>
  <c r="E1097" i="1"/>
  <c r="D1097" i="1"/>
  <c r="C1097" i="1"/>
  <c r="B1097" i="1"/>
  <c r="AT1096" i="1"/>
  <c r="AS1096" i="1"/>
  <c r="AK1096" i="1"/>
  <c r="AG1096" i="1"/>
  <c r="AF1096" i="1"/>
  <c r="AE1096" i="1"/>
  <c r="AC1096" i="1"/>
  <c r="AA1096" i="1"/>
  <c r="Z1096" i="1"/>
  <c r="Y1096" i="1"/>
  <c r="W1096" i="1"/>
  <c r="O1096" i="1"/>
  <c r="N1096" i="1"/>
  <c r="M1096" i="1"/>
  <c r="L1096" i="1"/>
  <c r="K1096" i="1"/>
  <c r="J1096" i="1"/>
  <c r="I1096" i="1"/>
  <c r="H1096" i="1"/>
  <c r="F1096" i="1"/>
  <c r="E1096" i="1"/>
  <c r="D1096" i="1"/>
  <c r="C1096" i="1"/>
  <c r="B1096" i="1"/>
  <c r="AT1095" i="1"/>
  <c r="AS1095" i="1"/>
  <c r="AK1095" i="1"/>
  <c r="AG1095" i="1"/>
  <c r="AF1095" i="1"/>
  <c r="AE1095" i="1"/>
  <c r="AC1095" i="1"/>
  <c r="AA1095" i="1"/>
  <c r="Z1095" i="1"/>
  <c r="Y1095" i="1"/>
  <c r="W1095" i="1"/>
  <c r="O1095" i="1"/>
  <c r="N1095" i="1"/>
  <c r="M1095" i="1"/>
  <c r="L1095" i="1"/>
  <c r="K1095" i="1"/>
  <c r="J1095" i="1"/>
  <c r="I1095" i="1"/>
  <c r="H1095" i="1"/>
  <c r="F1095" i="1"/>
  <c r="E1095" i="1"/>
  <c r="D1095" i="1"/>
  <c r="C1095" i="1"/>
  <c r="B1095" i="1"/>
  <c r="AT1094" i="1"/>
  <c r="AS1094" i="1"/>
  <c r="AK1094" i="1"/>
  <c r="AG1094" i="1"/>
  <c r="AF1094" i="1"/>
  <c r="AE1094" i="1"/>
  <c r="AC1094" i="1"/>
  <c r="AA1094" i="1"/>
  <c r="Z1094" i="1"/>
  <c r="Y1094" i="1"/>
  <c r="W1094" i="1"/>
  <c r="O1094" i="1"/>
  <c r="N1094" i="1"/>
  <c r="M1094" i="1"/>
  <c r="L1094" i="1"/>
  <c r="K1094" i="1"/>
  <c r="J1094" i="1"/>
  <c r="I1094" i="1"/>
  <c r="H1094" i="1"/>
  <c r="F1094" i="1"/>
  <c r="E1094" i="1"/>
  <c r="D1094" i="1"/>
  <c r="C1094" i="1"/>
  <c r="B1094" i="1"/>
  <c r="AT1093" i="1"/>
  <c r="AS1093" i="1"/>
  <c r="AK1093" i="1"/>
  <c r="AG1093" i="1"/>
  <c r="AF1093" i="1"/>
  <c r="AE1093" i="1"/>
  <c r="AC1093" i="1"/>
  <c r="AA1093" i="1"/>
  <c r="Z1093" i="1"/>
  <c r="Y1093" i="1"/>
  <c r="W1093" i="1"/>
  <c r="O1093" i="1"/>
  <c r="N1093" i="1"/>
  <c r="M1093" i="1"/>
  <c r="L1093" i="1"/>
  <c r="K1093" i="1"/>
  <c r="J1093" i="1"/>
  <c r="I1093" i="1"/>
  <c r="H1093" i="1"/>
  <c r="F1093" i="1"/>
  <c r="E1093" i="1"/>
  <c r="D1093" i="1"/>
  <c r="C1093" i="1"/>
  <c r="B1093" i="1"/>
  <c r="AT1092" i="1"/>
  <c r="AS1092" i="1"/>
  <c r="AK1092" i="1"/>
  <c r="AG1092" i="1"/>
  <c r="AF1092" i="1"/>
  <c r="AE1092" i="1"/>
  <c r="AC1092" i="1"/>
  <c r="AA1092" i="1"/>
  <c r="Z1092" i="1"/>
  <c r="Y1092" i="1"/>
  <c r="W1092" i="1"/>
  <c r="O1092" i="1"/>
  <c r="N1092" i="1"/>
  <c r="M1092" i="1"/>
  <c r="L1092" i="1"/>
  <c r="K1092" i="1"/>
  <c r="J1092" i="1"/>
  <c r="I1092" i="1"/>
  <c r="H1092" i="1"/>
  <c r="F1092" i="1"/>
  <c r="E1092" i="1"/>
  <c r="D1092" i="1"/>
  <c r="C1092" i="1"/>
  <c r="B1092" i="1"/>
  <c r="AT1091" i="1"/>
  <c r="AS1091" i="1"/>
  <c r="AK1091" i="1"/>
  <c r="AG1091" i="1"/>
  <c r="AF1091" i="1"/>
  <c r="AE1091" i="1"/>
  <c r="AC1091" i="1"/>
  <c r="AA1091" i="1"/>
  <c r="Z1091" i="1"/>
  <c r="Y1091" i="1"/>
  <c r="W1091" i="1"/>
  <c r="O1091" i="1"/>
  <c r="N1091" i="1"/>
  <c r="M1091" i="1"/>
  <c r="L1091" i="1"/>
  <c r="K1091" i="1"/>
  <c r="J1091" i="1"/>
  <c r="I1091" i="1"/>
  <c r="H1091" i="1"/>
  <c r="F1091" i="1"/>
  <c r="E1091" i="1"/>
  <c r="D1091" i="1"/>
  <c r="C1091" i="1"/>
  <c r="B1091" i="1"/>
  <c r="AT1090" i="1"/>
  <c r="AS1090" i="1"/>
  <c r="AK1090" i="1"/>
  <c r="AG1090" i="1"/>
  <c r="AF1090" i="1"/>
  <c r="AE1090" i="1"/>
  <c r="AC1090" i="1"/>
  <c r="AA1090" i="1"/>
  <c r="Z1090" i="1"/>
  <c r="Y1090" i="1"/>
  <c r="W1090" i="1"/>
  <c r="O1090" i="1"/>
  <c r="N1090" i="1"/>
  <c r="M1090" i="1"/>
  <c r="L1090" i="1"/>
  <c r="K1090" i="1"/>
  <c r="J1090" i="1"/>
  <c r="I1090" i="1"/>
  <c r="H1090" i="1"/>
  <c r="F1090" i="1"/>
  <c r="E1090" i="1"/>
  <c r="D1090" i="1"/>
  <c r="C1090" i="1"/>
  <c r="B1090" i="1"/>
  <c r="AT1089" i="1"/>
  <c r="AS1089" i="1"/>
  <c r="AK1089" i="1"/>
  <c r="AG1089" i="1"/>
  <c r="AF1089" i="1"/>
  <c r="AE1089" i="1"/>
  <c r="AC1089" i="1"/>
  <c r="AA1089" i="1"/>
  <c r="Z1089" i="1"/>
  <c r="Y1089" i="1"/>
  <c r="W1089" i="1"/>
  <c r="O1089" i="1"/>
  <c r="N1089" i="1"/>
  <c r="M1089" i="1"/>
  <c r="L1089" i="1"/>
  <c r="K1089" i="1"/>
  <c r="J1089" i="1"/>
  <c r="I1089" i="1"/>
  <c r="H1089" i="1"/>
  <c r="F1089" i="1"/>
  <c r="E1089" i="1"/>
  <c r="D1089" i="1"/>
  <c r="C1089" i="1"/>
  <c r="B1089" i="1"/>
  <c r="AT1088" i="1"/>
  <c r="AS1088" i="1"/>
  <c r="AK1088" i="1"/>
  <c r="AG1088" i="1"/>
  <c r="AF1088" i="1"/>
  <c r="AE1088" i="1"/>
  <c r="AC1088" i="1"/>
  <c r="AA1088" i="1"/>
  <c r="Z1088" i="1"/>
  <c r="Y1088" i="1"/>
  <c r="W1088" i="1"/>
  <c r="O1088" i="1"/>
  <c r="N1088" i="1"/>
  <c r="M1088" i="1"/>
  <c r="L1088" i="1"/>
  <c r="K1088" i="1"/>
  <c r="J1088" i="1"/>
  <c r="I1088" i="1"/>
  <c r="H1088" i="1"/>
  <c r="F1088" i="1"/>
  <c r="E1088" i="1"/>
  <c r="D1088" i="1"/>
  <c r="C1088" i="1"/>
  <c r="B1088" i="1"/>
  <c r="AT1087" i="1"/>
  <c r="AS1087" i="1"/>
  <c r="AK1087" i="1"/>
  <c r="AG1087" i="1"/>
  <c r="AF1087" i="1"/>
  <c r="AE1087" i="1"/>
  <c r="AC1087" i="1"/>
  <c r="AA1087" i="1"/>
  <c r="Z1087" i="1"/>
  <c r="Y1087" i="1"/>
  <c r="W1087" i="1"/>
  <c r="O1087" i="1"/>
  <c r="N1087" i="1"/>
  <c r="M1087" i="1"/>
  <c r="L1087" i="1"/>
  <c r="K1087" i="1"/>
  <c r="J1087" i="1"/>
  <c r="I1087" i="1"/>
  <c r="H1087" i="1"/>
  <c r="F1087" i="1"/>
  <c r="E1087" i="1"/>
  <c r="D1087" i="1"/>
  <c r="C1087" i="1"/>
  <c r="B1087" i="1"/>
  <c r="AT1086" i="1"/>
  <c r="AS1086" i="1"/>
  <c r="AK1086" i="1"/>
  <c r="AG1086" i="1"/>
  <c r="AF1086" i="1"/>
  <c r="AE1086" i="1"/>
  <c r="AC1086" i="1"/>
  <c r="AA1086" i="1"/>
  <c r="Z1086" i="1"/>
  <c r="Y1086" i="1"/>
  <c r="W1086" i="1"/>
  <c r="O1086" i="1"/>
  <c r="N1086" i="1"/>
  <c r="M1086" i="1"/>
  <c r="L1086" i="1"/>
  <c r="K1086" i="1"/>
  <c r="J1086" i="1"/>
  <c r="I1086" i="1"/>
  <c r="H1086" i="1"/>
  <c r="G1086" i="1"/>
  <c r="F1086" i="1"/>
  <c r="E1086" i="1"/>
  <c r="D1086" i="1"/>
  <c r="C1086" i="1"/>
  <c r="B1086" i="1"/>
  <c r="AT1085" i="1"/>
  <c r="AS1085" i="1"/>
  <c r="AK1085" i="1"/>
  <c r="AG1085" i="1"/>
  <c r="AF1085" i="1"/>
  <c r="AE1085" i="1"/>
  <c r="AC1085" i="1"/>
  <c r="AA1085" i="1"/>
  <c r="Z1085" i="1"/>
  <c r="Y1085" i="1"/>
  <c r="W1085" i="1"/>
  <c r="O1085" i="1"/>
  <c r="N1085" i="1"/>
  <c r="M1085" i="1"/>
  <c r="L1085" i="1"/>
  <c r="K1085" i="1"/>
  <c r="J1085" i="1"/>
  <c r="I1085" i="1"/>
  <c r="H1085" i="1"/>
  <c r="G1085" i="1"/>
  <c r="F1085" i="1"/>
  <c r="E1085" i="1"/>
  <c r="D1085" i="1"/>
  <c r="C1085" i="1"/>
  <c r="B1085" i="1"/>
  <c r="AT1084" i="1"/>
  <c r="AS1084" i="1"/>
  <c r="AK1084" i="1"/>
  <c r="AG1084" i="1"/>
  <c r="AF1084" i="1"/>
  <c r="AE1084" i="1"/>
  <c r="AC1084" i="1"/>
  <c r="AA1084" i="1"/>
  <c r="Z1084" i="1"/>
  <c r="Y1084" i="1"/>
  <c r="W1084" i="1"/>
  <c r="O1084" i="1"/>
  <c r="N1084" i="1"/>
  <c r="M1084" i="1"/>
  <c r="L1084" i="1"/>
  <c r="K1084" i="1"/>
  <c r="J1084" i="1"/>
  <c r="I1084" i="1"/>
  <c r="H1084" i="1"/>
  <c r="F1084" i="1"/>
  <c r="E1084" i="1"/>
  <c r="D1084" i="1"/>
  <c r="C1084" i="1"/>
  <c r="B1084" i="1"/>
  <c r="AT1083" i="1"/>
  <c r="AS1083" i="1"/>
  <c r="AK1083" i="1"/>
  <c r="AG1083" i="1"/>
  <c r="AF1083" i="1"/>
  <c r="AE1083" i="1"/>
  <c r="AC1083" i="1"/>
  <c r="AA1083" i="1"/>
  <c r="Z1083" i="1"/>
  <c r="Y1083" i="1"/>
  <c r="W1083" i="1"/>
  <c r="O1083" i="1"/>
  <c r="N1083" i="1"/>
  <c r="M1083" i="1"/>
  <c r="L1083" i="1"/>
  <c r="K1083" i="1"/>
  <c r="J1083" i="1"/>
  <c r="I1083" i="1"/>
  <c r="H1083" i="1"/>
  <c r="G1083" i="1"/>
  <c r="F1083" i="1"/>
  <c r="E1083" i="1"/>
  <c r="D1083" i="1"/>
  <c r="C1083" i="1"/>
  <c r="B1083" i="1"/>
  <c r="AT1082" i="1"/>
  <c r="AS1082" i="1"/>
  <c r="AK1082" i="1"/>
  <c r="AG1082" i="1"/>
  <c r="AF1082" i="1"/>
  <c r="AE1082" i="1"/>
  <c r="AC1082" i="1"/>
  <c r="AA1082" i="1"/>
  <c r="Z1082" i="1"/>
  <c r="Y1082" i="1"/>
  <c r="W1082" i="1"/>
  <c r="O1082" i="1"/>
  <c r="N1082" i="1"/>
  <c r="M1082" i="1"/>
  <c r="L1082" i="1"/>
  <c r="K1082" i="1"/>
  <c r="J1082" i="1"/>
  <c r="I1082" i="1"/>
  <c r="H1082" i="1"/>
  <c r="F1082" i="1"/>
  <c r="E1082" i="1"/>
  <c r="D1082" i="1"/>
  <c r="C1082" i="1"/>
  <c r="B1082" i="1"/>
  <c r="AT1081" i="1"/>
  <c r="AS1081" i="1"/>
  <c r="AK1081" i="1"/>
  <c r="AG1081" i="1"/>
  <c r="AF1081" i="1"/>
  <c r="AE1081" i="1"/>
  <c r="AC1081" i="1"/>
  <c r="AA1081" i="1"/>
  <c r="Z1081" i="1"/>
  <c r="Y1081" i="1"/>
  <c r="W1081" i="1"/>
  <c r="O1081" i="1"/>
  <c r="N1081" i="1"/>
  <c r="M1081" i="1"/>
  <c r="L1081" i="1"/>
  <c r="K1081" i="1"/>
  <c r="J1081" i="1"/>
  <c r="I1081" i="1"/>
  <c r="H1081" i="1"/>
  <c r="G1081" i="1"/>
  <c r="F1081" i="1"/>
  <c r="E1081" i="1"/>
  <c r="D1081" i="1"/>
  <c r="C1081" i="1"/>
  <c r="B1081" i="1"/>
  <c r="AT1080" i="1"/>
  <c r="AS1080" i="1"/>
  <c r="AK1080" i="1"/>
  <c r="AG1080" i="1"/>
  <c r="AF1080" i="1"/>
  <c r="AE1080" i="1"/>
  <c r="AC1080" i="1"/>
  <c r="AA1080" i="1"/>
  <c r="Z1080" i="1"/>
  <c r="Y1080" i="1"/>
  <c r="W1080" i="1"/>
  <c r="O1080" i="1"/>
  <c r="N1080" i="1"/>
  <c r="M1080" i="1"/>
  <c r="L1080" i="1"/>
  <c r="K1080" i="1"/>
  <c r="J1080" i="1"/>
  <c r="I1080" i="1"/>
  <c r="H1080" i="1"/>
  <c r="F1080" i="1"/>
  <c r="E1080" i="1"/>
  <c r="D1080" i="1"/>
  <c r="C1080" i="1"/>
  <c r="B1080" i="1"/>
  <c r="AT1079" i="1"/>
  <c r="AS1079" i="1"/>
  <c r="AK1079" i="1"/>
  <c r="AG1079" i="1"/>
  <c r="AF1079" i="1"/>
  <c r="AE1079" i="1"/>
  <c r="AC1079" i="1"/>
  <c r="AA1079" i="1"/>
  <c r="Z1079" i="1"/>
  <c r="Y1079" i="1"/>
  <c r="W1079" i="1"/>
  <c r="O1079" i="1"/>
  <c r="N1079" i="1"/>
  <c r="M1079" i="1"/>
  <c r="L1079" i="1"/>
  <c r="K1079" i="1"/>
  <c r="J1079" i="1"/>
  <c r="I1079" i="1"/>
  <c r="H1079" i="1"/>
  <c r="F1079" i="1"/>
  <c r="E1079" i="1"/>
  <c r="D1079" i="1"/>
  <c r="C1079" i="1"/>
  <c r="B1079" i="1"/>
  <c r="AT1078" i="1"/>
  <c r="AS1078" i="1"/>
  <c r="AK1078" i="1"/>
  <c r="AG1078" i="1"/>
  <c r="AF1078" i="1"/>
  <c r="AE1078" i="1"/>
  <c r="AC1078" i="1"/>
  <c r="AA1078" i="1"/>
  <c r="Z1078" i="1"/>
  <c r="Y1078" i="1"/>
  <c r="W1078" i="1"/>
  <c r="O1078" i="1"/>
  <c r="N1078" i="1"/>
  <c r="M1078" i="1"/>
  <c r="L1078" i="1"/>
  <c r="K1078" i="1"/>
  <c r="J1078" i="1"/>
  <c r="I1078" i="1"/>
  <c r="H1078" i="1"/>
  <c r="F1078" i="1"/>
  <c r="E1078" i="1"/>
  <c r="D1078" i="1"/>
  <c r="C1078" i="1"/>
  <c r="B1078" i="1"/>
  <c r="AT1077" i="1"/>
  <c r="AS1077" i="1"/>
  <c r="AK1077" i="1"/>
  <c r="AG1077" i="1"/>
  <c r="AF1077" i="1"/>
  <c r="AE1077" i="1"/>
  <c r="AC1077" i="1"/>
  <c r="AA1077" i="1"/>
  <c r="Z1077" i="1"/>
  <c r="Y1077" i="1"/>
  <c r="W1077" i="1"/>
  <c r="O1077" i="1"/>
  <c r="N1077" i="1"/>
  <c r="M1077" i="1"/>
  <c r="L1077" i="1"/>
  <c r="K1077" i="1"/>
  <c r="J1077" i="1"/>
  <c r="I1077" i="1"/>
  <c r="H1077" i="1"/>
  <c r="G1077" i="1"/>
  <c r="F1077" i="1"/>
  <c r="E1077" i="1"/>
  <c r="D1077" i="1"/>
  <c r="C1077" i="1"/>
  <c r="B1077" i="1"/>
  <c r="AT1076" i="1"/>
  <c r="AS1076" i="1"/>
  <c r="AK1076" i="1"/>
  <c r="AG1076" i="1"/>
  <c r="AF1076" i="1"/>
  <c r="AE1076" i="1"/>
  <c r="AC1076" i="1"/>
  <c r="AA1076" i="1"/>
  <c r="Z1076" i="1"/>
  <c r="Y1076" i="1"/>
  <c r="W1076" i="1"/>
  <c r="O1076" i="1"/>
  <c r="N1076" i="1"/>
  <c r="M1076" i="1"/>
  <c r="L1076" i="1"/>
  <c r="K1076" i="1"/>
  <c r="J1076" i="1"/>
  <c r="I1076" i="1"/>
  <c r="H1076" i="1"/>
  <c r="G1076" i="1"/>
  <c r="F1076" i="1"/>
  <c r="E1076" i="1"/>
  <c r="D1076" i="1"/>
  <c r="C1076" i="1"/>
  <c r="B1076" i="1"/>
  <c r="AT1075" i="1"/>
  <c r="AS1075" i="1"/>
  <c r="AK1075" i="1"/>
  <c r="AG1075" i="1"/>
  <c r="AF1075" i="1"/>
  <c r="AE1075" i="1"/>
  <c r="AC1075" i="1"/>
  <c r="AA1075" i="1"/>
  <c r="Z1075" i="1"/>
  <c r="Y1075" i="1"/>
  <c r="W1075" i="1"/>
  <c r="U1075" i="1"/>
  <c r="T1075" i="1"/>
  <c r="S1075" i="1"/>
  <c r="O1075" i="1"/>
  <c r="N1075" i="1"/>
  <c r="M1075" i="1"/>
  <c r="L1075" i="1"/>
  <c r="K1075" i="1"/>
  <c r="J1075" i="1"/>
  <c r="I1075" i="1"/>
  <c r="H1075" i="1"/>
  <c r="F1075" i="1"/>
  <c r="E1075" i="1"/>
  <c r="D1075" i="1"/>
  <c r="C1075" i="1"/>
  <c r="B1075" i="1"/>
  <c r="AT1074" i="1"/>
  <c r="AS1074" i="1"/>
  <c r="AK1074" i="1"/>
  <c r="AG1074" i="1"/>
  <c r="AF1074" i="1"/>
  <c r="AE1074" i="1"/>
  <c r="AC1074" i="1"/>
  <c r="AA1074" i="1"/>
  <c r="Z1074" i="1"/>
  <c r="Y1074" i="1"/>
  <c r="W1074" i="1"/>
  <c r="U1074" i="1"/>
  <c r="T1074" i="1"/>
  <c r="S1074" i="1"/>
  <c r="O1074" i="1"/>
  <c r="N1074" i="1"/>
  <c r="M1074" i="1"/>
  <c r="L1074" i="1"/>
  <c r="K1074" i="1"/>
  <c r="J1074" i="1"/>
  <c r="I1074" i="1"/>
  <c r="H1074" i="1"/>
  <c r="F1074" i="1"/>
  <c r="E1074" i="1"/>
  <c r="D1074" i="1"/>
  <c r="C1074" i="1"/>
  <c r="B1074" i="1"/>
  <c r="AT1073" i="1"/>
  <c r="AS1073" i="1"/>
  <c r="AK1073" i="1"/>
  <c r="AG1073" i="1"/>
  <c r="AF1073" i="1"/>
  <c r="AE1073" i="1"/>
  <c r="AC1073" i="1"/>
  <c r="AA1073" i="1"/>
  <c r="Z1073" i="1"/>
  <c r="Y1073" i="1"/>
  <c r="W1073" i="1"/>
  <c r="O1073" i="1"/>
  <c r="N1073" i="1"/>
  <c r="M1073" i="1"/>
  <c r="L1073" i="1"/>
  <c r="K1073" i="1"/>
  <c r="J1073" i="1"/>
  <c r="I1073" i="1"/>
  <c r="H1073" i="1"/>
  <c r="F1073" i="1"/>
  <c r="E1073" i="1"/>
  <c r="D1073" i="1"/>
  <c r="C1073" i="1"/>
  <c r="B1073" i="1"/>
  <c r="AT1072" i="1"/>
  <c r="AS1072" i="1"/>
  <c r="AK1072" i="1"/>
  <c r="AG1072" i="1"/>
  <c r="AF1072" i="1"/>
  <c r="AE1072" i="1"/>
  <c r="AC1072" i="1"/>
  <c r="AA1072" i="1"/>
  <c r="Z1072" i="1"/>
  <c r="Y1072" i="1"/>
  <c r="W1072" i="1"/>
  <c r="O1072" i="1"/>
  <c r="N1072" i="1"/>
  <c r="M1072" i="1"/>
  <c r="L1072" i="1"/>
  <c r="K1072" i="1"/>
  <c r="J1072" i="1"/>
  <c r="I1072" i="1"/>
  <c r="H1072" i="1"/>
  <c r="F1072" i="1"/>
  <c r="E1072" i="1"/>
  <c r="D1072" i="1"/>
  <c r="C1072" i="1"/>
  <c r="B1072" i="1"/>
  <c r="AT1071" i="1"/>
  <c r="AS1071" i="1"/>
  <c r="AK1071" i="1"/>
  <c r="AG1071" i="1"/>
  <c r="AF1071" i="1"/>
  <c r="AE1071" i="1"/>
  <c r="AC1071" i="1"/>
  <c r="AA1071" i="1"/>
  <c r="Z1071" i="1"/>
  <c r="Y1071" i="1"/>
  <c r="W1071" i="1"/>
  <c r="O1071" i="1"/>
  <c r="N1071" i="1"/>
  <c r="M1071" i="1"/>
  <c r="L1071" i="1"/>
  <c r="K1071" i="1"/>
  <c r="J1071" i="1"/>
  <c r="I1071" i="1"/>
  <c r="H1071" i="1"/>
  <c r="F1071" i="1"/>
  <c r="E1071" i="1"/>
  <c r="D1071" i="1"/>
  <c r="C1071" i="1"/>
  <c r="B1071" i="1"/>
  <c r="AT1070" i="1"/>
  <c r="AS1070" i="1"/>
  <c r="AK1070" i="1"/>
  <c r="AG1070" i="1"/>
  <c r="AF1070" i="1"/>
  <c r="AE1070" i="1"/>
  <c r="AC1070" i="1"/>
  <c r="AA1070" i="1"/>
  <c r="Z1070" i="1"/>
  <c r="Y1070" i="1"/>
  <c r="W1070" i="1"/>
  <c r="O1070" i="1"/>
  <c r="N1070" i="1"/>
  <c r="M1070" i="1"/>
  <c r="L1070" i="1"/>
  <c r="K1070" i="1"/>
  <c r="J1070" i="1"/>
  <c r="I1070" i="1"/>
  <c r="H1070" i="1"/>
  <c r="F1070" i="1"/>
  <c r="E1070" i="1"/>
  <c r="D1070" i="1"/>
  <c r="C1070" i="1"/>
  <c r="B1070" i="1"/>
  <c r="AT1069" i="1"/>
  <c r="AS1069" i="1"/>
  <c r="AK1069" i="1"/>
  <c r="AG1069" i="1"/>
  <c r="AF1069" i="1"/>
  <c r="AE1069" i="1"/>
  <c r="AC1069" i="1"/>
  <c r="AA1069" i="1"/>
  <c r="Z1069" i="1"/>
  <c r="Y1069" i="1"/>
  <c r="W1069" i="1"/>
  <c r="O1069" i="1"/>
  <c r="N1069" i="1"/>
  <c r="M1069" i="1"/>
  <c r="L1069" i="1"/>
  <c r="K1069" i="1"/>
  <c r="J1069" i="1"/>
  <c r="I1069" i="1"/>
  <c r="H1069" i="1"/>
  <c r="F1069" i="1"/>
  <c r="E1069" i="1"/>
  <c r="D1069" i="1"/>
  <c r="C1069" i="1"/>
  <c r="B1069" i="1"/>
  <c r="AT1068" i="1"/>
  <c r="AS1068" i="1"/>
  <c r="AK1068" i="1"/>
  <c r="AG1068" i="1"/>
  <c r="AF1068" i="1"/>
  <c r="AE1068" i="1"/>
  <c r="AC1068" i="1"/>
  <c r="AA1068" i="1"/>
  <c r="Z1068" i="1"/>
  <c r="Y1068" i="1"/>
  <c r="W1068" i="1"/>
  <c r="O1068" i="1"/>
  <c r="N1068" i="1"/>
  <c r="M1068" i="1"/>
  <c r="L1068" i="1"/>
  <c r="K1068" i="1"/>
  <c r="J1068" i="1"/>
  <c r="I1068" i="1"/>
  <c r="H1068" i="1"/>
  <c r="F1068" i="1"/>
  <c r="E1068" i="1"/>
  <c r="D1068" i="1"/>
  <c r="C1068" i="1"/>
  <c r="B1068" i="1"/>
  <c r="AT1067" i="1"/>
  <c r="AS1067" i="1"/>
  <c r="AK1067" i="1"/>
  <c r="AG1067" i="1"/>
  <c r="AF1067" i="1"/>
  <c r="AE1067" i="1"/>
  <c r="AC1067" i="1"/>
  <c r="AA1067" i="1"/>
  <c r="Z1067" i="1"/>
  <c r="Y1067" i="1"/>
  <c r="W1067" i="1"/>
  <c r="O1067" i="1"/>
  <c r="N1067" i="1"/>
  <c r="M1067" i="1"/>
  <c r="L1067" i="1"/>
  <c r="K1067" i="1"/>
  <c r="J1067" i="1"/>
  <c r="I1067" i="1"/>
  <c r="H1067" i="1"/>
  <c r="F1067" i="1"/>
  <c r="E1067" i="1"/>
  <c r="D1067" i="1"/>
  <c r="C1067" i="1"/>
  <c r="B1067" i="1"/>
  <c r="AT1066" i="1"/>
  <c r="AS1066" i="1"/>
  <c r="AK1066" i="1"/>
  <c r="AG1066" i="1"/>
  <c r="AF1066" i="1"/>
  <c r="AE1066" i="1"/>
  <c r="AC1066" i="1"/>
  <c r="AA1066" i="1"/>
  <c r="Z1066" i="1"/>
  <c r="Y1066" i="1"/>
  <c r="W1066" i="1"/>
  <c r="O1066" i="1"/>
  <c r="N1066" i="1"/>
  <c r="M1066" i="1"/>
  <c r="L1066" i="1"/>
  <c r="K1066" i="1"/>
  <c r="J1066" i="1"/>
  <c r="I1066" i="1"/>
  <c r="H1066" i="1"/>
  <c r="F1066" i="1"/>
  <c r="E1066" i="1"/>
  <c r="D1066" i="1"/>
  <c r="C1066" i="1"/>
  <c r="B1066" i="1"/>
  <c r="AT1065" i="1"/>
  <c r="AS1065" i="1"/>
  <c r="AK1065" i="1"/>
  <c r="AG1065" i="1"/>
  <c r="AF1065" i="1"/>
  <c r="AE1065" i="1"/>
  <c r="AC1065" i="1"/>
  <c r="AA1065" i="1"/>
  <c r="Z1065" i="1"/>
  <c r="Y1065" i="1"/>
  <c r="W1065" i="1"/>
  <c r="O1065" i="1"/>
  <c r="N1065" i="1"/>
  <c r="M1065" i="1"/>
  <c r="L1065" i="1"/>
  <c r="K1065" i="1"/>
  <c r="J1065" i="1"/>
  <c r="I1065" i="1"/>
  <c r="H1065" i="1"/>
  <c r="G1065" i="1"/>
  <c r="F1065" i="1"/>
  <c r="E1065" i="1"/>
  <c r="D1065" i="1"/>
  <c r="C1065" i="1"/>
  <c r="B1065" i="1"/>
  <c r="AT1064" i="1"/>
  <c r="AS1064" i="1"/>
  <c r="AK1064" i="1"/>
  <c r="AG1064" i="1"/>
  <c r="AF1064" i="1"/>
  <c r="AE1064" i="1"/>
  <c r="AC1064" i="1"/>
  <c r="AA1064" i="1"/>
  <c r="Z1064" i="1"/>
  <c r="Y1064" i="1"/>
  <c r="W1064" i="1"/>
  <c r="O1064" i="1"/>
  <c r="N1064" i="1"/>
  <c r="M1064" i="1"/>
  <c r="L1064" i="1"/>
  <c r="K1064" i="1"/>
  <c r="J1064" i="1"/>
  <c r="I1064" i="1"/>
  <c r="H1064" i="1"/>
  <c r="G1064" i="1"/>
  <c r="F1064" i="1"/>
  <c r="E1064" i="1"/>
  <c r="D1064" i="1"/>
  <c r="C1064" i="1"/>
  <c r="B1064" i="1"/>
  <c r="AT1063" i="1"/>
  <c r="AS1063" i="1"/>
  <c r="AK1063" i="1"/>
  <c r="AG1063" i="1"/>
  <c r="AF1063" i="1"/>
  <c r="AE1063" i="1"/>
  <c r="AC1063" i="1"/>
  <c r="AA1063" i="1"/>
  <c r="Z1063" i="1"/>
  <c r="Y1063" i="1"/>
  <c r="W1063" i="1"/>
  <c r="O1063" i="1"/>
  <c r="N1063" i="1"/>
  <c r="M1063" i="1"/>
  <c r="L1063" i="1"/>
  <c r="K1063" i="1"/>
  <c r="J1063" i="1"/>
  <c r="I1063" i="1"/>
  <c r="H1063" i="1"/>
  <c r="F1063" i="1"/>
  <c r="E1063" i="1"/>
  <c r="D1063" i="1"/>
  <c r="C1063" i="1"/>
  <c r="B1063" i="1"/>
  <c r="AT1062" i="1"/>
  <c r="AS1062" i="1"/>
  <c r="AK1062" i="1"/>
  <c r="AG1062" i="1"/>
  <c r="AF1062" i="1"/>
  <c r="AE1062" i="1"/>
  <c r="AC1062" i="1"/>
  <c r="AA1062" i="1"/>
  <c r="Z1062" i="1"/>
  <c r="Y1062" i="1"/>
  <c r="W1062" i="1"/>
  <c r="O1062" i="1"/>
  <c r="N1062" i="1"/>
  <c r="M1062" i="1"/>
  <c r="L1062" i="1"/>
  <c r="K1062" i="1"/>
  <c r="J1062" i="1"/>
  <c r="I1062" i="1"/>
  <c r="H1062" i="1"/>
  <c r="F1062" i="1"/>
  <c r="E1062" i="1"/>
  <c r="D1062" i="1"/>
  <c r="C1062" i="1"/>
  <c r="B1062" i="1"/>
  <c r="AT1061" i="1"/>
  <c r="AS1061" i="1"/>
  <c r="AK1061" i="1"/>
  <c r="AG1061" i="1"/>
  <c r="AF1061" i="1"/>
  <c r="AE1061" i="1"/>
  <c r="AC1061" i="1"/>
  <c r="AA1061" i="1"/>
  <c r="Z1061" i="1"/>
  <c r="Y1061" i="1"/>
  <c r="W1061" i="1"/>
  <c r="O1061" i="1"/>
  <c r="N1061" i="1"/>
  <c r="M1061" i="1"/>
  <c r="L1061" i="1"/>
  <c r="K1061" i="1"/>
  <c r="J1061" i="1"/>
  <c r="I1061" i="1"/>
  <c r="H1061" i="1"/>
  <c r="F1061" i="1"/>
  <c r="E1061" i="1"/>
  <c r="D1061" i="1"/>
  <c r="C1061" i="1"/>
  <c r="B1061" i="1"/>
  <c r="AT1060" i="1"/>
  <c r="AS1060" i="1"/>
  <c r="AK1060" i="1"/>
  <c r="AG1060" i="1"/>
  <c r="AF1060" i="1"/>
  <c r="AE1060" i="1"/>
  <c r="AC1060" i="1"/>
  <c r="AA1060" i="1"/>
  <c r="Z1060" i="1"/>
  <c r="Y1060" i="1"/>
  <c r="W1060" i="1"/>
  <c r="O1060" i="1"/>
  <c r="N1060" i="1"/>
  <c r="M1060" i="1"/>
  <c r="L1060" i="1"/>
  <c r="K1060" i="1"/>
  <c r="J1060" i="1"/>
  <c r="I1060" i="1"/>
  <c r="H1060" i="1"/>
  <c r="F1060" i="1"/>
  <c r="E1060" i="1"/>
  <c r="D1060" i="1"/>
  <c r="C1060" i="1"/>
  <c r="B1060" i="1"/>
  <c r="AT1059" i="1"/>
  <c r="AS1059" i="1"/>
  <c r="AK1059" i="1"/>
  <c r="AG1059" i="1"/>
  <c r="AF1059" i="1"/>
  <c r="AE1059" i="1"/>
  <c r="AC1059" i="1"/>
  <c r="AA1059" i="1"/>
  <c r="Z1059" i="1"/>
  <c r="Y1059" i="1"/>
  <c r="W1059" i="1"/>
  <c r="O1059" i="1"/>
  <c r="N1059" i="1"/>
  <c r="M1059" i="1"/>
  <c r="L1059" i="1"/>
  <c r="K1059" i="1"/>
  <c r="J1059" i="1"/>
  <c r="I1059" i="1"/>
  <c r="H1059" i="1"/>
  <c r="F1059" i="1"/>
  <c r="E1059" i="1"/>
  <c r="D1059" i="1"/>
  <c r="C1059" i="1"/>
  <c r="B1059" i="1"/>
  <c r="AT1058" i="1"/>
  <c r="AS1058" i="1"/>
  <c r="AK1058" i="1"/>
  <c r="AG1058" i="1"/>
  <c r="AF1058" i="1"/>
  <c r="AE1058" i="1"/>
  <c r="AC1058" i="1"/>
  <c r="AA1058" i="1"/>
  <c r="Z1058" i="1"/>
  <c r="Y1058" i="1"/>
  <c r="W1058" i="1"/>
  <c r="O1058" i="1"/>
  <c r="N1058" i="1"/>
  <c r="M1058" i="1"/>
  <c r="L1058" i="1"/>
  <c r="K1058" i="1"/>
  <c r="J1058" i="1"/>
  <c r="I1058" i="1"/>
  <c r="H1058" i="1"/>
  <c r="G1058" i="1"/>
  <c r="F1058" i="1"/>
  <c r="E1058" i="1"/>
  <c r="D1058" i="1"/>
  <c r="C1058" i="1"/>
  <c r="B1058" i="1"/>
  <c r="AT1057" i="1"/>
  <c r="AS1057" i="1"/>
  <c r="AK1057" i="1"/>
  <c r="AG1057" i="1"/>
  <c r="AF1057" i="1"/>
  <c r="AE1057" i="1"/>
  <c r="AC1057" i="1"/>
  <c r="AA1057" i="1"/>
  <c r="Z1057" i="1"/>
  <c r="Y1057" i="1"/>
  <c r="W1057" i="1"/>
  <c r="O1057" i="1"/>
  <c r="N1057" i="1"/>
  <c r="M1057" i="1"/>
  <c r="L1057" i="1"/>
  <c r="K1057" i="1"/>
  <c r="J1057" i="1"/>
  <c r="I1057" i="1"/>
  <c r="H1057" i="1"/>
  <c r="F1057" i="1"/>
  <c r="E1057" i="1"/>
  <c r="D1057" i="1"/>
  <c r="C1057" i="1"/>
  <c r="B1057" i="1"/>
  <c r="AT1056" i="1"/>
  <c r="AS1056" i="1"/>
  <c r="AK1056" i="1"/>
  <c r="AG1056" i="1"/>
  <c r="AF1056" i="1"/>
  <c r="AE1056" i="1"/>
  <c r="AC1056" i="1"/>
  <c r="AA1056" i="1"/>
  <c r="Z1056" i="1"/>
  <c r="Y1056" i="1"/>
  <c r="W1056" i="1"/>
  <c r="O1056" i="1"/>
  <c r="N1056" i="1"/>
  <c r="M1056" i="1"/>
  <c r="L1056" i="1"/>
  <c r="K1056" i="1"/>
  <c r="J1056" i="1"/>
  <c r="I1056" i="1"/>
  <c r="H1056" i="1"/>
  <c r="F1056" i="1"/>
  <c r="E1056" i="1"/>
  <c r="D1056" i="1"/>
  <c r="C1056" i="1"/>
  <c r="B1056" i="1"/>
  <c r="AT1055" i="1"/>
  <c r="AS1055" i="1"/>
  <c r="AK1055" i="1"/>
  <c r="AG1055" i="1"/>
  <c r="AF1055" i="1"/>
  <c r="AE1055" i="1"/>
  <c r="AC1055" i="1"/>
  <c r="AA1055" i="1"/>
  <c r="Z1055" i="1"/>
  <c r="Y1055" i="1"/>
  <c r="W1055" i="1"/>
  <c r="O1055" i="1"/>
  <c r="N1055" i="1"/>
  <c r="M1055" i="1"/>
  <c r="L1055" i="1"/>
  <c r="K1055" i="1"/>
  <c r="J1055" i="1"/>
  <c r="I1055" i="1"/>
  <c r="H1055" i="1"/>
  <c r="F1055" i="1"/>
  <c r="E1055" i="1"/>
  <c r="D1055" i="1"/>
  <c r="C1055" i="1"/>
  <c r="B1055" i="1"/>
  <c r="AT1054" i="1"/>
  <c r="AS1054" i="1"/>
  <c r="AK1054" i="1"/>
  <c r="AG1054" i="1"/>
  <c r="AF1054" i="1"/>
  <c r="AE1054" i="1"/>
  <c r="AC1054" i="1"/>
  <c r="AA1054" i="1"/>
  <c r="Z1054" i="1"/>
  <c r="Y1054" i="1"/>
  <c r="W1054" i="1"/>
  <c r="O1054" i="1"/>
  <c r="N1054" i="1"/>
  <c r="M1054" i="1"/>
  <c r="L1054" i="1"/>
  <c r="K1054" i="1"/>
  <c r="J1054" i="1"/>
  <c r="I1054" i="1"/>
  <c r="H1054" i="1"/>
  <c r="F1054" i="1"/>
  <c r="E1054" i="1"/>
  <c r="D1054" i="1"/>
  <c r="C1054" i="1"/>
  <c r="B1054" i="1"/>
  <c r="AT1053" i="1"/>
  <c r="AS1053" i="1"/>
  <c r="AK1053" i="1"/>
  <c r="AG1053" i="1"/>
  <c r="AF1053" i="1"/>
  <c r="AE1053" i="1"/>
  <c r="AC1053" i="1"/>
  <c r="AA1053" i="1"/>
  <c r="Z1053" i="1"/>
  <c r="Y1053" i="1"/>
  <c r="W1053" i="1"/>
  <c r="U1053" i="1"/>
  <c r="T1053" i="1"/>
  <c r="S1053" i="1"/>
  <c r="O1053" i="1"/>
  <c r="N1053" i="1"/>
  <c r="M1053" i="1"/>
  <c r="L1053" i="1"/>
  <c r="K1053" i="1"/>
  <c r="J1053" i="1"/>
  <c r="I1053" i="1"/>
  <c r="H1053" i="1"/>
  <c r="F1053" i="1"/>
  <c r="E1053" i="1"/>
  <c r="D1053" i="1"/>
  <c r="C1053" i="1"/>
  <c r="B1053" i="1"/>
  <c r="AT1052" i="1"/>
  <c r="AS1052" i="1"/>
  <c r="AK1052" i="1"/>
  <c r="AG1052" i="1"/>
  <c r="AF1052" i="1"/>
  <c r="AE1052" i="1"/>
  <c r="AC1052" i="1"/>
  <c r="AA1052" i="1"/>
  <c r="Z1052" i="1"/>
  <c r="Y1052" i="1"/>
  <c r="W1052" i="1"/>
  <c r="O1052" i="1"/>
  <c r="N1052" i="1"/>
  <c r="M1052" i="1"/>
  <c r="L1052" i="1"/>
  <c r="K1052" i="1"/>
  <c r="J1052" i="1"/>
  <c r="I1052" i="1"/>
  <c r="H1052" i="1"/>
  <c r="G1052" i="1"/>
  <c r="F1052" i="1"/>
  <c r="E1052" i="1"/>
  <c r="D1052" i="1"/>
  <c r="C1052" i="1"/>
  <c r="B1052" i="1"/>
  <c r="AT1051" i="1"/>
  <c r="AS1051" i="1"/>
  <c r="AK1051" i="1"/>
  <c r="AG1051" i="1"/>
  <c r="AF1051" i="1"/>
  <c r="AE1051" i="1"/>
  <c r="AC1051" i="1"/>
  <c r="AA1051" i="1"/>
  <c r="Z1051" i="1"/>
  <c r="Y1051" i="1"/>
  <c r="W1051" i="1"/>
  <c r="O1051" i="1"/>
  <c r="N1051" i="1"/>
  <c r="M1051" i="1"/>
  <c r="L1051" i="1"/>
  <c r="K1051" i="1"/>
  <c r="J1051" i="1"/>
  <c r="I1051" i="1"/>
  <c r="H1051" i="1"/>
  <c r="G1051" i="1"/>
  <c r="F1051" i="1"/>
  <c r="E1051" i="1"/>
  <c r="D1051" i="1"/>
  <c r="C1051" i="1"/>
  <c r="B1051" i="1"/>
  <c r="AT1050" i="1"/>
  <c r="AS1050" i="1"/>
  <c r="AK1050" i="1"/>
  <c r="AG1050" i="1"/>
  <c r="AF1050" i="1"/>
  <c r="AE1050" i="1"/>
  <c r="AC1050" i="1"/>
  <c r="AA1050" i="1"/>
  <c r="Z1050" i="1"/>
  <c r="Y1050" i="1"/>
  <c r="W1050" i="1"/>
  <c r="O1050" i="1"/>
  <c r="N1050" i="1"/>
  <c r="M1050" i="1"/>
  <c r="L1050" i="1"/>
  <c r="K1050" i="1"/>
  <c r="J1050" i="1"/>
  <c r="I1050" i="1"/>
  <c r="H1050" i="1"/>
  <c r="F1050" i="1"/>
  <c r="E1050" i="1"/>
  <c r="D1050" i="1"/>
  <c r="C1050" i="1"/>
  <c r="B1050" i="1"/>
  <c r="AT1049" i="1"/>
  <c r="AS1049" i="1"/>
  <c r="AK1049" i="1"/>
  <c r="AG1049" i="1"/>
  <c r="AF1049" i="1"/>
  <c r="AE1049" i="1"/>
  <c r="AC1049" i="1"/>
  <c r="AA1049" i="1"/>
  <c r="Z1049" i="1"/>
  <c r="Y1049" i="1"/>
  <c r="W1049" i="1"/>
  <c r="O1049" i="1"/>
  <c r="N1049" i="1"/>
  <c r="M1049" i="1"/>
  <c r="L1049" i="1"/>
  <c r="K1049" i="1"/>
  <c r="J1049" i="1"/>
  <c r="I1049" i="1"/>
  <c r="H1049" i="1"/>
  <c r="F1049" i="1"/>
  <c r="E1049" i="1"/>
  <c r="D1049" i="1"/>
  <c r="C1049" i="1"/>
  <c r="B1049" i="1"/>
  <c r="AT1048" i="1"/>
  <c r="AS1048" i="1"/>
  <c r="AK1048" i="1"/>
  <c r="AG1048" i="1"/>
  <c r="AF1048" i="1"/>
  <c r="AE1048" i="1"/>
  <c r="AC1048" i="1"/>
  <c r="AA1048" i="1"/>
  <c r="Z1048" i="1"/>
  <c r="Y1048" i="1"/>
  <c r="W1048" i="1"/>
  <c r="O1048" i="1"/>
  <c r="N1048" i="1"/>
  <c r="M1048" i="1"/>
  <c r="L1048" i="1"/>
  <c r="K1048" i="1"/>
  <c r="J1048" i="1"/>
  <c r="I1048" i="1"/>
  <c r="H1048" i="1"/>
  <c r="F1048" i="1"/>
  <c r="E1048" i="1"/>
  <c r="D1048" i="1"/>
  <c r="C1048" i="1"/>
  <c r="B1048" i="1"/>
  <c r="AT1047" i="1"/>
  <c r="AS1047" i="1"/>
  <c r="AK1047" i="1"/>
  <c r="AG1047" i="1"/>
  <c r="AF1047" i="1"/>
  <c r="AE1047" i="1"/>
  <c r="AC1047" i="1"/>
  <c r="AA1047" i="1"/>
  <c r="Z1047" i="1"/>
  <c r="Y1047" i="1"/>
  <c r="W1047" i="1"/>
  <c r="O1047" i="1"/>
  <c r="N1047" i="1"/>
  <c r="M1047" i="1"/>
  <c r="L1047" i="1"/>
  <c r="K1047" i="1"/>
  <c r="J1047" i="1"/>
  <c r="I1047" i="1"/>
  <c r="H1047" i="1"/>
  <c r="F1047" i="1"/>
  <c r="E1047" i="1"/>
  <c r="D1047" i="1"/>
  <c r="C1047" i="1"/>
  <c r="B1047" i="1"/>
  <c r="AT1046" i="1"/>
  <c r="AS1046" i="1"/>
  <c r="AK1046" i="1"/>
  <c r="AG1046" i="1"/>
  <c r="AF1046" i="1"/>
  <c r="AE1046" i="1"/>
  <c r="AC1046" i="1"/>
  <c r="AA1046" i="1"/>
  <c r="Z1046" i="1"/>
  <c r="Y1046" i="1"/>
  <c r="W1046" i="1"/>
  <c r="O1046" i="1"/>
  <c r="N1046" i="1"/>
  <c r="M1046" i="1"/>
  <c r="L1046" i="1"/>
  <c r="K1046" i="1"/>
  <c r="J1046" i="1"/>
  <c r="I1046" i="1"/>
  <c r="H1046" i="1"/>
  <c r="G1046" i="1"/>
  <c r="F1046" i="1"/>
  <c r="E1046" i="1"/>
  <c r="D1046" i="1"/>
  <c r="C1046" i="1"/>
  <c r="B1046" i="1"/>
  <c r="AT1045" i="1"/>
  <c r="AS1045" i="1"/>
  <c r="AK1045" i="1"/>
  <c r="AG1045" i="1"/>
  <c r="AF1045" i="1"/>
  <c r="AE1045" i="1"/>
  <c r="AC1045" i="1"/>
  <c r="AA1045" i="1"/>
  <c r="Z1045" i="1"/>
  <c r="Y1045" i="1"/>
  <c r="W1045" i="1"/>
  <c r="O1045" i="1"/>
  <c r="N1045" i="1"/>
  <c r="M1045" i="1"/>
  <c r="L1045" i="1"/>
  <c r="K1045" i="1"/>
  <c r="J1045" i="1"/>
  <c r="I1045" i="1"/>
  <c r="H1045" i="1"/>
  <c r="F1045" i="1"/>
  <c r="E1045" i="1"/>
  <c r="D1045" i="1"/>
  <c r="C1045" i="1"/>
  <c r="B1045" i="1"/>
  <c r="AT1044" i="1"/>
  <c r="AS1044" i="1"/>
  <c r="AK1044" i="1"/>
  <c r="AG1044" i="1"/>
  <c r="AF1044" i="1"/>
  <c r="AE1044" i="1"/>
  <c r="AC1044" i="1"/>
  <c r="AA1044" i="1"/>
  <c r="Z1044" i="1"/>
  <c r="Y1044" i="1"/>
  <c r="W1044" i="1"/>
  <c r="O1044" i="1"/>
  <c r="N1044" i="1"/>
  <c r="M1044" i="1"/>
  <c r="L1044" i="1"/>
  <c r="K1044" i="1"/>
  <c r="J1044" i="1"/>
  <c r="I1044" i="1"/>
  <c r="H1044" i="1"/>
  <c r="G1044" i="1"/>
  <c r="F1044" i="1"/>
  <c r="E1044" i="1"/>
  <c r="D1044" i="1"/>
  <c r="C1044" i="1"/>
  <c r="B1044" i="1"/>
  <c r="AT1043" i="1"/>
  <c r="AS1043" i="1"/>
  <c r="AK1043" i="1"/>
  <c r="AG1043" i="1"/>
  <c r="AF1043" i="1"/>
  <c r="AE1043" i="1"/>
  <c r="AC1043" i="1"/>
  <c r="AA1043" i="1"/>
  <c r="Z1043" i="1"/>
  <c r="Y1043" i="1"/>
  <c r="W1043" i="1"/>
  <c r="U1043" i="1"/>
  <c r="T1043" i="1"/>
  <c r="S1043" i="1"/>
  <c r="O1043" i="1"/>
  <c r="N1043" i="1"/>
  <c r="M1043" i="1"/>
  <c r="L1043" i="1"/>
  <c r="K1043" i="1"/>
  <c r="J1043" i="1"/>
  <c r="I1043" i="1"/>
  <c r="H1043" i="1"/>
  <c r="F1043" i="1"/>
  <c r="E1043" i="1"/>
  <c r="D1043" i="1"/>
  <c r="C1043" i="1"/>
  <c r="B1043" i="1"/>
  <c r="AT1042" i="1"/>
  <c r="AS1042" i="1"/>
  <c r="AK1042" i="1"/>
  <c r="AG1042" i="1"/>
  <c r="AF1042" i="1"/>
  <c r="AE1042" i="1"/>
  <c r="AC1042" i="1"/>
  <c r="AA1042" i="1"/>
  <c r="Z1042" i="1"/>
  <c r="Y1042" i="1"/>
  <c r="W1042" i="1"/>
  <c r="O1042" i="1"/>
  <c r="N1042" i="1"/>
  <c r="M1042" i="1"/>
  <c r="L1042" i="1"/>
  <c r="K1042" i="1"/>
  <c r="J1042" i="1"/>
  <c r="I1042" i="1"/>
  <c r="H1042" i="1"/>
  <c r="F1042" i="1"/>
  <c r="E1042" i="1"/>
  <c r="D1042" i="1"/>
  <c r="C1042" i="1"/>
  <c r="B1042" i="1"/>
  <c r="AT1041" i="1"/>
  <c r="AS1041" i="1"/>
  <c r="AK1041" i="1"/>
  <c r="AG1041" i="1"/>
  <c r="AF1041" i="1"/>
  <c r="AE1041" i="1"/>
  <c r="AC1041" i="1"/>
  <c r="AA1041" i="1"/>
  <c r="Z1041" i="1"/>
  <c r="Y1041" i="1"/>
  <c r="W1041" i="1"/>
  <c r="O1041" i="1"/>
  <c r="N1041" i="1"/>
  <c r="M1041" i="1"/>
  <c r="L1041" i="1"/>
  <c r="K1041" i="1"/>
  <c r="J1041" i="1"/>
  <c r="I1041" i="1"/>
  <c r="H1041" i="1"/>
  <c r="F1041" i="1"/>
  <c r="E1041" i="1"/>
  <c r="D1041" i="1"/>
  <c r="C1041" i="1"/>
  <c r="B1041" i="1"/>
  <c r="AT1040" i="1"/>
  <c r="AS1040" i="1"/>
  <c r="AK1040" i="1"/>
  <c r="AG1040" i="1"/>
  <c r="AF1040" i="1"/>
  <c r="AE1040" i="1"/>
  <c r="AC1040" i="1"/>
  <c r="AA1040" i="1"/>
  <c r="Z1040" i="1"/>
  <c r="Y1040" i="1"/>
  <c r="W1040" i="1"/>
  <c r="O1040" i="1"/>
  <c r="N1040" i="1"/>
  <c r="M1040" i="1"/>
  <c r="L1040" i="1"/>
  <c r="K1040" i="1"/>
  <c r="J1040" i="1"/>
  <c r="I1040" i="1"/>
  <c r="H1040" i="1"/>
  <c r="F1040" i="1"/>
  <c r="E1040" i="1"/>
  <c r="D1040" i="1"/>
  <c r="C1040" i="1"/>
  <c r="B1040" i="1"/>
  <c r="AT1039" i="1"/>
  <c r="AS1039" i="1"/>
  <c r="AK1039" i="1"/>
  <c r="AG1039" i="1"/>
  <c r="AF1039" i="1"/>
  <c r="AE1039" i="1"/>
  <c r="AC1039" i="1"/>
  <c r="AA1039" i="1"/>
  <c r="Z1039" i="1"/>
  <c r="Y1039" i="1"/>
  <c r="W1039" i="1"/>
  <c r="O1039" i="1"/>
  <c r="N1039" i="1"/>
  <c r="M1039" i="1"/>
  <c r="L1039" i="1"/>
  <c r="K1039" i="1"/>
  <c r="J1039" i="1"/>
  <c r="I1039" i="1"/>
  <c r="H1039" i="1"/>
  <c r="F1039" i="1"/>
  <c r="E1039" i="1"/>
  <c r="D1039" i="1"/>
  <c r="C1039" i="1"/>
  <c r="B1039" i="1"/>
  <c r="AT1038" i="1"/>
  <c r="AS1038" i="1"/>
  <c r="AK1038" i="1"/>
  <c r="AG1038" i="1"/>
  <c r="AF1038" i="1"/>
  <c r="AE1038" i="1"/>
  <c r="AC1038" i="1"/>
  <c r="AA1038" i="1"/>
  <c r="Z1038" i="1"/>
  <c r="Y1038" i="1"/>
  <c r="W1038" i="1"/>
  <c r="O1038" i="1"/>
  <c r="N1038" i="1"/>
  <c r="M1038" i="1"/>
  <c r="L1038" i="1"/>
  <c r="K1038" i="1"/>
  <c r="J1038" i="1"/>
  <c r="I1038" i="1"/>
  <c r="H1038" i="1"/>
  <c r="F1038" i="1"/>
  <c r="E1038" i="1"/>
  <c r="D1038" i="1"/>
  <c r="C1038" i="1"/>
  <c r="B1038" i="1"/>
  <c r="AT1037" i="1"/>
  <c r="AS1037" i="1"/>
  <c r="AK1037" i="1"/>
  <c r="AG1037" i="1"/>
  <c r="AF1037" i="1"/>
  <c r="AE1037" i="1"/>
  <c r="AC1037" i="1"/>
  <c r="AA1037" i="1"/>
  <c r="Z1037" i="1"/>
  <c r="Y1037" i="1"/>
  <c r="W1037" i="1"/>
  <c r="U1037" i="1"/>
  <c r="T1037" i="1"/>
  <c r="S1037" i="1"/>
  <c r="O1037" i="1"/>
  <c r="N1037" i="1"/>
  <c r="M1037" i="1"/>
  <c r="L1037" i="1"/>
  <c r="K1037" i="1"/>
  <c r="J1037" i="1"/>
  <c r="I1037" i="1"/>
  <c r="H1037" i="1"/>
  <c r="G1037" i="1"/>
  <c r="F1037" i="1"/>
  <c r="E1037" i="1"/>
  <c r="D1037" i="1"/>
  <c r="C1037" i="1"/>
  <c r="B1037" i="1"/>
  <c r="AT1036" i="1"/>
  <c r="AS1036" i="1"/>
  <c r="AK1036" i="1"/>
  <c r="AG1036" i="1"/>
  <c r="AF1036" i="1"/>
  <c r="AE1036" i="1"/>
  <c r="AC1036" i="1"/>
  <c r="AA1036" i="1"/>
  <c r="Z1036" i="1"/>
  <c r="Y1036" i="1"/>
  <c r="W1036" i="1"/>
  <c r="O1036" i="1"/>
  <c r="N1036" i="1"/>
  <c r="M1036" i="1"/>
  <c r="L1036" i="1"/>
  <c r="K1036" i="1"/>
  <c r="J1036" i="1"/>
  <c r="I1036" i="1"/>
  <c r="H1036" i="1"/>
  <c r="F1036" i="1"/>
  <c r="E1036" i="1"/>
  <c r="D1036" i="1"/>
  <c r="C1036" i="1"/>
  <c r="B1036" i="1"/>
  <c r="AT1035" i="1"/>
  <c r="AS1035" i="1"/>
  <c r="AK1035" i="1"/>
  <c r="AG1035" i="1"/>
  <c r="AF1035" i="1"/>
  <c r="AE1035" i="1"/>
  <c r="AC1035" i="1"/>
  <c r="AA1035" i="1"/>
  <c r="Z1035" i="1"/>
  <c r="Y1035" i="1"/>
  <c r="W1035" i="1"/>
  <c r="O1035" i="1"/>
  <c r="N1035" i="1"/>
  <c r="M1035" i="1"/>
  <c r="L1035" i="1"/>
  <c r="K1035" i="1"/>
  <c r="J1035" i="1"/>
  <c r="I1035" i="1"/>
  <c r="H1035" i="1"/>
  <c r="F1035" i="1"/>
  <c r="E1035" i="1"/>
  <c r="D1035" i="1"/>
  <c r="C1035" i="1"/>
  <c r="B1035" i="1"/>
  <c r="AT1034" i="1"/>
  <c r="AS1034" i="1"/>
  <c r="AK1034" i="1"/>
  <c r="AG1034" i="1"/>
  <c r="AF1034" i="1"/>
  <c r="AE1034" i="1"/>
  <c r="AC1034" i="1"/>
  <c r="AA1034" i="1"/>
  <c r="Z1034" i="1"/>
  <c r="Y1034" i="1"/>
  <c r="W1034" i="1"/>
  <c r="O1034" i="1"/>
  <c r="N1034" i="1"/>
  <c r="M1034" i="1"/>
  <c r="L1034" i="1"/>
  <c r="K1034" i="1"/>
  <c r="J1034" i="1"/>
  <c r="I1034" i="1"/>
  <c r="H1034" i="1"/>
  <c r="F1034" i="1"/>
  <c r="E1034" i="1"/>
  <c r="D1034" i="1"/>
  <c r="C1034" i="1"/>
  <c r="B1034" i="1"/>
  <c r="AT1033" i="1"/>
  <c r="AS1033" i="1"/>
  <c r="AK1033" i="1"/>
  <c r="AG1033" i="1"/>
  <c r="AF1033" i="1"/>
  <c r="AE1033" i="1"/>
  <c r="AC1033" i="1"/>
  <c r="AA1033" i="1"/>
  <c r="Z1033" i="1"/>
  <c r="Y1033" i="1"/>
  <c r="W1033" i="1"/>
  <c r="O1033" i="1"/>
  <c r="N1033" i="1"/>
  <c r="M1033" i="1"/>
  <c r="L1033" i="1"/>
  <c r="K1033" i="1"/>
  <c r="J1033" i="1"/>
  <c r="I1033" i="1"/>
  <c r="H1033" i="1"/>
  <c r="F1033" i="1"/>
  <c r="E1033" i="1"/>
  <c r="D1033" i="1"/>
  <c r="C1033" i="1"/>
  <c r="B1033" i="1"/>
  <c r="AT1032" i="1"/>
  <c r="AS1032" i="1"/>
  <c r="AK1032" i="1"/>
  <c r="AG1032" i="1"/>
  <c r="AF1032" i="1"/>
  <c r="AE1032" i="1"/>
  <c r="AC1032" i="1"/>
  <c r="AA1032" i="1"/>
  <c r="Z1032" i="1"/>
  <c r="Y1032" i="1"/>
  <c r="W1032" i="1"/>
  <c r="O1032" i="1"/>
  <c r="N1032" i="1"/>
  <c r="M1032" i="1"/>
  <c r="L1032" i="1"/>
  <c r="K1032" i="1"/>
  <c r="J1032" i="1"/>
  <c r="I1032" i="1"/>
  <c r="H1032" i="1"/>
  <c r="F1032" i="1"/>
  <c r="E1032" i="1"/>
  <c r="D1032" i="1"/>
  <c r="C1032" i="1"/>
  <c r="B1032" i="1"/>
  <c r="AT1031" i="1"/>
  <c r="AS1031" i="1"/>
  <c r="AK1031" i="1"/>
  <c r="AG1031" i="1"/>
  <c r="AF1031" i="1"/>
  <c r="AE1031" i="1"/>
  <c r="AC1031" i="1"/>
  <c r="AA1031" i="1"/>
  <c r="Z1031" i="1"/>
  <c r="Y1031" i="1"/>
  <c r="W1031" i="1"/>
  <c r="O1031" i="1"/>
  <c r="N1031" i="1"/>
  <c r="M1031" i="1"/>
  <c r="L1031" i="1"/>
  <c r="K1031" i="1"/>
  <c r="J1031" i="1"/>
  <c r="I1031" i="1"/>
  <c r="H1031" i="1"/>
  <c r="F1031" i="1"/>
  <c r="E1031" i="1"/>
  <c r="D1031" i="1"/>
  <c r="C1031" i="1"/>
  <c r="B1031" i="1"/>
  <c r="AT1030" i="1"/>
  <c r="AS1030" i="1"/>
  <c r="AK1030" i="1"/>
  <c r="AG1030" i="1"/>
  <c r="AF1030" i="1"/>
  <c r="AE1030" i="1"/>
  <c r="AC1030" i="1"/>
  <c r="AA1030" i="1"/>
  <c r="Z1030" i="1"/>
  <c r="Y1030" i="1"/>
  <c r="W1030" i="1"/>
  <c r="O1030" i="1"/>
  <c r="N1030" i="1"/>
  <c r="M1030" i="1"/>
  <c r="L1030" i="1"/>
  <c r="K1030" i="1"/>
  <c r="J1030" i="1"/>
  <c r="I1030" i="1"/>
  <c r="H1030" i="1"/>
  <c r="F1030" i="1"/>
  <c r="E1030" i="1"/>
  <c r="D1030" i="1"/>
  <c r="C1030" i="1"/>
  <c r="B1030" i="1"/>
  <c r="AT1029" i="1"/>
  <c r="AS1029" i="1"/>
  <c r="AK1029" i="1"/>
  <c r="AG1029" i="1"/>
  <c r="AF1029" i="1"/>
  <c r="AE1029" i="1"/>
  <c r="AC1029" i="1"/>
  <c r="AA1029" i="1"/>
  <c r="Z1029" i="1"/>
  <c r="Y1029" i="1"/>
  <c r="W1029" i="1"/>
  <c r="O1029" i="1"/>
  <c r="N1029" i="1"/>
  <c r="M1029" i="1"/>
  <c r="L1029" i="1"/>
  <c r="K1029" i="1"/>
  <c r="J1029" i="1"/>
  <c r="I1029" i="1"/>
  <c r="H1029" i="1"/>
  <c r="F1029" i="1"/>
  <c r="E1029" i="1"/>
  <c r="D1029" i="1"/>
  <c r="C1029" i="1"/>
  <c r="B1029" i="1"/>
  <c r="AT1028" i="1"/>
  <c r="AS1028" i="1"/>
  <c r="AK1028" i="1"/>
  <c r="AG1028" i="1"/>
  <c r="AF1028" i="1"/>
  <c r="AE1028" i="1"/>
  <c r="AC1028" i="1"/>
  <c r="AA1028" i="1"/>
  <c r="Z1028" i="1"/>
  <c r="Y1028" i="1"/>
  <c r="W1028" i="1"/>
  <c r="O1028" i="1"/>
  <c r="N1028" i="1"/>
  <c r="M1028" i="1"/>
  <c r="L1028" i="1"/>
  <c r="K1028" i="1"/>
  <c r="J1028" i="1"/>
  <c r="I1028" i="1"/>
  <c r="H1028" i="1"/>
  <c r="F1028" i="1"/>
  <c r="E1028" i="1"/>
  <c r="D1028" i="1"/>
  <c r="C1028" i="1"/>
  <c r="B1028" i="1"/>
  <c r="AT1027" i="1"/>
  <c r="AS1027" i="1"/>
  <c r="AK1027" i="1"/>
  <c r="AG1027" i="1"/>
  <c r="AF1027" i="1"/>
  <c r="AE1027" i="1"/>
  <c r="AC1027" i="1"/>
  <c r="AA1027" i="1"/>
  <c r="Z1027" i="1"/>
  <c r="Y1027" i="1"/>
  <c r="W1027" i="1"/>
  <c r="O1027" i="1"/>
  <c r="N1027" i="1"/>
  <c r="M1027" i="1"/>
  <c r="L1027" i="1"/>
  <c r="K1027" i="1"/>
  <c r="J1027" i="1"/>
  <c r="I1027" i="1"/>
  <c r="H1027" i="1"/>
  <c r="F1027" i="1"/>
  <c r="E1027" i="1"/>
  <c r="D1027" i="1"/>
  <c r="C1027" i="1"/>
  <c r="B1027" i="1"/>
  <c r="AT1026" i="1"/>
  <c r="AS1026" i="1"/>
  <c r="AK1026" i="1"/>
  <c r="AG1026" i="1"/>
  <c r="AF1026" i="1"/>
  <c r="AE1026" i="1"/>
  <c r="AC1026" i="1"/>
  <c r="AA1026" i="1"/>
  <c r="Z1026" i="1"/>
  <c r="Y1026" i="1"/>
  <c r="W1026" i="1"/>
  <c r="O1026" i="1"/>
  <c r="N1026" i="1"/>
  <c r="M1026" i="1"/>
  <c r="L1026" i="1"/>
  <c r="K1026" i="1"/>
  <c r="J1026" i="1"/>
  <c r="I1026" i="1"/>
  <c r="H1026" i="1"/>
  <c r="F1026" i="1"/>
  <c r="E1026" i="1"/>
  <c r="D1026" i="1"/>
  <c r="C1026" i="1"/>
  <c r="B1026" i="1"/>
  <c r="AT1025" i="1"/>
  <c r="AS1025" i="1"/>
  <c r="AK1025" i="1"/>
  <c r="AG1025" i="1"/>
  <c r="AF1025" i="1"/>
  <c r="AE1025" i="1"/>
  <c r="AC1025" i="1"/>
  <c r="AA1025" i="1"/>
  <c r="Z1025" i="1"/>
  <c r="Y1025" i="1"/>
  <c r="W1025" i="1"/>
  <c r="O1025" i="1"/>
  <c r="N1025" i="1"/>
  <c r="M1025" i="1"/>
  <c r="L1025" i="1"/>
  <c r="K1025" i="1"/>
  <c r="J1025" i="1"/>
  <c r="I1025" i="1"/>
  <c r="H1025" i="1"/>
  <c r="F1025" i="1"/>
  <c r="E1025" i="1"/>
  <c r="D1025" i="1"/>
  <c r="C1025" i="1"/>
  <c r="B1025" i="1"/>
  <c r="AT1024" i="1"/>
  <c r="AS1024" i="1"/>
  <c r="AK1024" i="1"/>
  <c r="AG1024" i="1"/>
  <c r="AF1024" i="1"/>
  <c r="AE1024" i="1"/>
  <c r="AC1024" i="1"/>
  <c r="AA1024" i="1"/>
  <c r="Z1024" i="1"/>
  <c r="Y1024" i="1"/>
  <c r="W1024" i="1"/>
  <c r="O1024" i="1"/>
  <c r="N1024" i="1"/>
  <c r="M1024" i="1"/>
  <c r="L1024" i="1"/>
  <c r="K1024" i="1"/>
  <c r="J1024" i="1"/>
  <c r="I1024" i="1"/>
  <c r="H1024" i="1"/>
  <c r="F1024" i="1"/>
  <c r="E1024" i="1"/>
  <c r="D1024" i="1"/>
  <c r="C1024" i="1"/>
  <c r="B1024" i="1"/>
  <c r="AT1023" i="1"/>
  <c r="AS1023" i="1"/>
  <c r="AK1023" i="1"/>
  <c r="AG1023" i="1"/>
  <c r="AF1023" i="1"/>
  <c r="AE1023" i="1"/>
  <c r="AC1023" i="1"/>
  <c r="AA1023" i="1"/>
  <c r="Z1023" i="1"/>
  <c r="Y1023" i="1"/>
  <c r="W1023" i="1"/>
  <c r="O1023" i="1"/>
  <c r="N1023" i="1"/>
  <c r="M1023" i="1"/>
  <c r="L1023" i="1"/>
  <c r="K1023" i="1"/>
  <c r="J1023" i="1"/>
  <c r="I1023" i="1"/>
  <c r="H1023" i="1"/>
  <c r="F1023" i="1"/>
  <c r="E1023" i="1"/>
  <c r="D1023" i="1"/>
  <c r="C1023" i="1"/>
  <c r="B1023" i="1"/>
  <c r="AT1022" i="1"/>
  <c r="AS1022" i="1"/>
  <c r="AK1022" i="1"/>
  <c r="AG1022" i="1"/>
  <c r="AF1022" i="1"/>
  <c r="AE1022" i="1"/>
  <c r="AC1022" i="1"/>
  <c r="AA1022" i="1"/>
  <c r="Z1022" i="1"/>
  <c r="Y1022" i="1"/>
  <c r="W1022" i="1"/>
  <c r="O1022" i="1"/>
  <c r="N1022" i="1"/>
  <c r="M1022" i="1"/>
  <c r="L1022" i="1"/>
  <c r="K1022" i="1"/>
  <c r="J1022" i="1"/>
  <c r="I1022" i="1"/>
  <c r="H1022" i="1"/>
  <c r="G1022" i="1"/>
  <c r="F1022" i="1"/>
  <c r="E1022" i="1"/>
  <c r="D1022" i="1"/>
  <c r="C1022" i="1"/>
  <c r="B1022" i="1"/>
  <c r="AT1021" i="1"/>
  <c r="AS1021" i="1"/>
  <c r="AK1021" i="1"/>
  <c r="AG1021" i="1"/>
  <c r="AF1021" i="1"/>
  <c r="AE1021" i="1"/>
  <c r="AC1021" i="1"/>
  <c r="AA1021" i="1"/>
  <c r="Z1021" i="1"/>
  <c r="Y1021" i="1"/>
  <c r="W1021" i="1"/>
  <c r="O1021" i="1"/>
  <c r="N1021" i="1"/>
  <c r="M1021" i="1"/>
  <c r="L1021" i="1"/>
  <c r="K1021" i="1"/>
  <c r="J1021" i="1"/>
  <c r="I1021" i="1"/>
  <c r="H1021" i="1"/>
  <c r="F1021" i="1"/>
  <c r="E1021" i="1"/>
  <c r="D1021" i="1"/>
  <c r="C1021" i="1"/>
  <c r="B1021" i="1"/>
  <c r="AT1020" i="1"/>
  <c r="AS1020" i="1"/>
  <c r="AK1020" i="1"/>
  <c r="AG1020" i="1"/>
  <c r="AF1020" i="1"/>
  <c r="AE1020" i="1"/>
  <c r="AC1020" i="1"/>
  <c r="AA1020" i="1"/>
  <c r="Z1020" i="1"/>
  <c r="Y1020" i="1"/>
  <c r="W1020" i="1"/>
  <c r="O1020" i="1"/>
  <c r="N1020" i="1"/>
  <c r="M1020" i="1"/>
  <c r="L1020" i="1"/>
  <c r="K1020" i="1"/>
  <c r="J1020" i="1"/>
  <c r="I1020" i="1"/>
  <c r="H1020" i="1"/>
  <c r="F1020" i="1"/>
  <c r="E1020" i="1"/>
  <c r="D1020" i="1"/>
  <c r="C1020" i="1"/>
  <c r="B1020" i="1"/>
  <c r="AT1019" i="1"/>
  <c r="AS1019" i="1"/>
  <c r="AK1019" i="1"/>
  <c r="AG1019" i="1"/>
  <c r="AF1019" i="1"/>
  <c r="AE1019" i="1"/>
  <c r="AC1019" i="1"/>
  <c r="AA1019" i="1"/>
  <c r="Z1019" i="1"/>
  <c r="Y1019" i="1"/>
  <c r="W1019" i="1"/>
  <c r="U1019" i="1"/>
  <c r="T1019" i="1"/>
  <c r="S1019" i="1"/>
  <c r="O1019" i="1"/>
  <c r="N1019" i="1"/>
  <c r="M1019" i="1"/>
  <c r="L1019" i="1"/>
  <c r="K1019" i="1"/>
  <c r="J1019" i="1"/>
  <c r="I1019" i="1"/>
  <c r="H1019" i="1"/>
  <c r="F1019" i="1"/>
  <c r="E1019" i="1"/>
  <c r="D1019" i="1"/>
  <c r="C1019" i="1"/>
  <c r="B1019" i="1"/>
  <c r="AT1018" i="1"/>
  <c r="AS1018" i="1"/>
  <c r="AK1018" i="1"/>
  <c r="AG1018" i="1"/>
  <c r="AF1018" i="1"/>
  <c r="AE1018" i="1"/>
  <c r="AC1018" i="1"/>
  <c r="AA1018" i="1"/>
  <c r="Z1018" i="1"/>
  <c r="Y1018" i="1"/>
  <c r="W1018" i="1"/>
  <c r="O1018" i="1"/>
  <c r="N1018" i="1"/>
  <c r="M1018" i="1"/>
  <c r="L1018" i="1"/>
  <c r="K1018" i="1"/>
  <c r="J1018" i="1"/>
  <c r="I1018" i="1"/>
  <c r="H1018" i="1"/>
  <c r="F1018" i="1"/>
  <c r="E1018" i="1"/>
  <c r="D1018" i="1"/>
  <c r="C1018" i="1"/>
  <c r="B1018" i="1"/>
  <c r="AT1017" i="1"/>
  <c r="AS1017" i="1"/>
  <c r="AK1017" i="1"/>
  <c r="AG1017" i="1"/>
  <c r="AF1017" i="1"/>
  <c r="AE1017" i="1"/>
  <c r="AC1017" i="1"/>
  <c r="AA1017" i="1"/>
  <c r="Z1017" i="1"/>
  <c r="Y1017" i="1"/>
  <c r="W1017" i="1"/>
  <c r="O1017" i="1"/>
  <c r="N1017" i="1"/>
  <c r="M1017" i="1"/>
  <c r="L1017" i="1"/>
  <c r="K1017" i="1"/>
  <c r="J1017" i="1"/>
  <c r="I1017" i="1"/>
  <c r="H1017" i="1"/>
  <c r="F1017" i="1"/>
  <c r="E1017" i="1"/>
  <c r="D1017" i="1"/>
  <c r="C1017" i="1"/>
  <c r="B1017" i="1"/>
  <c r="AT1016" i="1"/>
  <c r="AS1016" i="1"/>
  <c r="AK1016" i="1"/>
  <c r="AG1016" i="1"/>
  <c r="AF1016" i="1"/>
  <c r="AE1016" i="1"/>
  <c r="AC1016" i="1"/>
  <c r="AA1016" i="1"/>
  <c r="Z1016" i="1"/>
  <c r="Y1016" i="1"/>
  <c r="W1016" i="1"/>
  <c r="O1016" i="1"/>
  <c r="N1016" i="1"/>
  <c r="M1016" i="1"/>
  <c r="L1016" i="1"/>
  <c r="K1016" i="1"/>
  <c r="J1016" i="1"/>
  <c r="I1016" i="1"/>
  <c r="H1016" i="1"/>
  <c r="F1016" i="1"/>
  <c r="E1016" i="1"/>
  <c r="D1016" i="1"/>
  <c r="C1016" i="1"/>
  <c r="B1016" i="1"/>
  <c r="AT1015" i="1"/>
  <c r="AS1015" i="1"/>
  <c r="AK1015" i="1"/>
  <c r="AG1015" i="1"/>
  <c r="AF1015" i="1"/>
  <c r="AE1015" i="1"/>
  <c r="AC1015" i="1"/>
  <c r="AA1015" i="1"/>
  <c r="Z1015" i="1"/>
  <c r="Y1015" i="1"/>
  <c r="W1015" i="1"/>
  <c r="O1015" i="1"/>
  <c r="N1015" i="1"/>
  <c r="M1015" i="1"/>
  <c r="L1015" i="1"/>
  <c r="K1015" i="1"/>
  <c r="J1015" i="1"/>
  <c r="I1015" i="1"/>
  <c r="H1015" i="1"/>
  <c r="F1015" i="1"/>
  <c r="E1015" i="1"/>
  <c r="D1015" i="1"/>
  <c r="C1015" i="1"/>
  <c r="B1015" i="1"/>
  <c r="AT1014" i="1"/>
  <c r="AS1014" i="1"/>
  <c r="AK1014" i="1"/>
  <c r="AG1014" i="1"/>
  <c r="AF1014" i="1"/>
  <c r="AE1014" i="1"/>
  <c r="AC1014" i="1"/>
  <c r="AA1014" i="1"/>
  <c r="Z1014" i="1"/>
  <c r="Y1014" i="1"/>
  <c r="W1014" i="1"/>
  <c r="O1014" i="1"/>
  <c r="N1014" i="1"/>
  <c r="M1014" i="1"/>
  <c r="L1014" i="1"/>
  <c r="K1014" i="1"/>
  <c r="J1014" i="1"/>
  <c r="I1014" i="1"/>
  <c r="H1014" i="1"/>
  <c r="F1014" i="1"/>
  <c r="E1014" i="1"/>
  <c r="D1014" i="1"/>
  <c r="C1014" i="1"/>
  <c r="B1014" i="1"/>
  <c r="AT1013" i="1"/>
  <c r="AS1013" i="1"/>
  <c r="AK1013" i="1"/>
  <c r="AG1013" i="1"/>
  <c r="AF1013" i="1"/>
  <c r="AE1013" i="1"/>
  <c r="AC1013" i="1"/>
  <c r="AA1013" i="1"/>
  <c r="Z1013" i="1"/>
  <c r="Y1013" i="1"/>
  <c r="W1013" i="1"/>
  <c r="O1013" i="1"/>
  <c r="N1013" i="1"/>
  <c r="M1013" i="1"/>
  <c r="L1013" i="1"/>
  <c r="K1013" i="1"/>
  <c r="J1013" i="1"/>
  <c r="I1013" i="1"/>
  <c r="H1013" i="1"/>
  <c r="F1013" i="1"/>
  <c r="E1013" i="1"/>
  <c r="D1013" i="1"/>
  <c r="C1013" i="1"/>
  <c r="B1013" i="1"/>
  <c r="AT1012" i="1"/>
  <c r="AS1012" i="1"/>
  <c r="AK1012" i="1"/>
  <c r="AG1012" i="1"/>
  <c r="AF1012" i="1"/>
  <c r="AE1012" i="1"/>
  <c r="AC1012" i="1"/>
  <c r="AA1012" i="1"/>
  <c r="Z1012" i="1"/>
  <c r="Y1012" i="1"/>
  <c r="W1012" i="1"/>
  <c r="O1012" i="1"/>
  <c r="N1012" i="1"/>
  <c r="M1012" i="1"/>
  <c r="L1012" i="1"/>
  <c r="K1012" i="1"/>
  <c r="J1012" i="1"/>
  <c r="I1012" i="1"/>
  <c r="H1012" i="1"/>
  <c r="F1012" i="1"/>
  <c r="E1012" i="1"/>
  <c r="D1012" i="1"/>
  <c r="C1012" i="1"/>
  <c r="B1012" i="1"/>
  <c r="AT1011" i="1"/>
  <c r="AS1011" i="1"/>
  <c r="AK1011" i="1"/>
  <c r="AG1011" i="1"/>
  <c r="AF1011" i="1"/>
  <c r="AE1011" i="1"/>
  <c r="AC1011" i="1"/>
  <c r="AA1011" i="1"/>
  <c r="Z1011" i="1"/>
  <c r="Y1011" i="1"/>
  <c r="W1011" i="1"/>
  <c r="O1011" i="1"/>
  <c r="N1011" i="1"/>
  <c r="M1011" i="1"/>
  <c r="L1011" i="1"/>
  <c r="K1011" i="1"/>
  <c r="J1011" i="1"/>
  <c r="I1011" i="1"/>
  <c r="H1011" i="1"/>
  <c r="F1011" i="1"/>
  <c r="E1011" i="1"/>
  <c r="D1011" i="1"/>
  <c r="C1011" i="1"/>
  <c r="B1011" i="1"/>
  <c r="AT1010" i="1"/>
  <c r="AS1010" i="1"/>
  <c r="AK1010" i="1"/>
  <c r="AG1010" i="1"/>
  <c r="AF1010" i="1"/>
  <c r="AE1010" i="1"/>
  <c r="AC1010" i="1"/>
  <c r="AA1010" i="1"/>
  <c r="Z1010" i="1"/>
  <c r="Y1010" i="1"/>
  <c r="W1010" i="1"/>
  <c r="O1010" i="1"/>
  <c r="N1010" i="1"/>
  <c r="M1010" i="1"/>
  <c r="L1010" i="1"/>
  <c r="K1010" i="1"/>
  <c r="J1010" i="1"/>
  <c r="I1010" i="1"/>
  <c r="H1010" i="1"/>
  <c r="F1010" i="1"/>
  <c r="E1010" i="1"/>
  <c r="D1010" i="1"/>
  <c r="C1010" i="1"/>
  <c r="B1010" i="1"/>
  <c r="AT1009" i="1"/>
  <c r="AS1009" i="1"/>
  <c r="AK1009" i="1"/>
  <c r="AG1009" i="1"/>
  <c r="AF1009" i="1"/>
  <c r="AE1009" i="1"/>
  <c r="AC1009" i="1"/>
  <c r="AA1009" i="1"/>
  <c r="Z1009" i="1"/>
  <c r="Y1009" i="1"/>
  <c r="W1009" i="1"/>
  <c r="O1009" i="1"/>
  <c r="N1009" i="1"/>
  <c r="M1009" i="1"/>
  <c r="L1009" i="1"/>
  <c r="K1009" i="1"/>
  <c r="J1009" i="1"/>
  <c r="I1009" i="1"/>
  <c r="H1009" i="1"/>
  <c r="F1009" i="1"/>
  <c r="E1009" i="1"/>
  <c r="D1009" i="1"/>
  <c r="C1009" i="1"/>
  <c r="B1009" i="1"/>
  <c r="AT1008" i="1"/>
  <c r="AS1008" i="1"/>
  <c r="AK1008" i="1"/>
  <c r="AG1008" i="1"/>
  <c r="AF1008" i="1"/>
  <c r="AE1008" i="1"/>
  <c r="AC1008" i="1"/>
  <c r="AA1008" i="1"/>
  <c r="Z1008" i="1"/>
  <c r="Y1008" i="1"/>
  <c r="W1008" i="1"/>
  <c r="O1008" i="1"/>
  <c r="N1008" i="1"/>
  <c r="M1008" i="1"/>
  <c r="L1008" i="1"/>
  <c r="K1008" i="1"/>
  <c r="J1008" i="1"/>
  <c r="I1008" i="1"/>
  <c r="H1008" i="1"/>
  <c r="G1008" i="1"/>
  <c r="F1008" i="1"/>
  <c r="E1008" i="1"/>
  <c r="D1008" i="1"/>
  <c r="C1008" i="1"/>
  <c r="B1008" i="1"/>
  <c r="AT1007" i="1"/>
  <c r="AS1007" i="1"/>
  <c r="AK1007" i="1"/>
  <c r="AG1007" i="1"/>
  <c r="AF1007" i="1"/>
  <c r="AE1007" i="1"/>
  <c r="AC1007" i="1"/>
  <c r="AA1007" i="1"/>
  <c r="Z1007" i="1"/>
  <c r="Y1007" i="1"/>
  <c r="W1007" i="1"/>
  <c r="O1007" i="1"/>
  <c r="N1007" i="1"/>
  <c r="M1007" i="1"/>
  <c r="L1007" i="1"/>
  <c r="K1007" i="1"/>
  <c r="J1007" i="1"/>
  <c r="I1007" i="1"/>
  <c r="H1007" i="1"/>
  <c r="F1007" i="1"/>
  <c r="E1007" i="1"/>
  <c r="D1007" i="1"/>
  <c r="C1007" i="1"/>
  <c r="B1007" i="1"/>
  <c r="AT1006" i="1"/>
  <c r="AS1006" i="1"/>
  <c r="AK1006" i="1"/>
  <c r="AG1006" i="1"/>
  <c r="AF1006" i="1"/>
  <c r="AE1006" i="1"/>
  <c r="AC1006" i="1"/>
  <c r="AA1006" i="1"/>
  <c r="Z1006" i="1"/>
  <c r="Y1006" i="1"/>
  <c r="W1006" i="1"/>
  <c r="O1006" i="1"/>
  <c r="N1006" i="1"/>
  <c r="M1006" i="1"/>
  <c r="L1006" i="1"/>
  <c r="K1006" i="1"/>
  <c r="J1006" i="1"/>
  <c r="I1006" i="1"/>
  <c r="H1006" i="1"/>
  <c r="F1006" i="1"/>
  <c r="E1006" i="1"/>
  <c r="D1006" i="1"/>
  <c r="C1006" i="1"/>
  <c r="B1006" i="1"/>
  <c r="AT1005" i="1"/>
  <c r="AS1005" i="1"/>
  <c r="AK1005" i="1"/>
  <c r="AG1005" i="1"/>
  <c r="AF1005" i="1"/>
  <c r="AE1005" i="1"/>
  <c r="AC1005" i="1"/>
  <c r="AA1005" i="1"/>
  <c r="Z1005" i="1"/>
  <c r="Y1005" i="1"/>
  <c r="W1005" i="1"/>
  <c r="O1005" i="1"/>
  <c r="N1005" i="1"/>
  <c r="M1005" i="1"/>
  <c r="L1005" i="1"/>
  <c r="K1005" i="1"/>
  <c r="J1005" i="1"/>
  <c r="I1005" i="1"/>
  <c r="H1005" i="1"/>
  <c r="F1005" i="1"/>
  <c r="E1005" i="1"/>
  <c r="D1005" i="1"/>
  <c r="C1005" i="1"/>
  <c r="B1005" i="1"/>
  <c r="AT1004" i="1"/>
  <c r="AS1004" i="1"/>
  <c r="AK1004" i="1"/>
  <c r="AG1004" i="1"/>
  <c r="AF1004" i="1"/>
  <c r="AE1004" i="1"/>
  <c r="AC1004" i="1"/>
  <c r="AA1004" i="1"/>
  <c r="Z1004" i="1"/>
  <c r="Y1004" i="1"/>
  <c r="W1004" i="1"/>
  <c r="U1004" i="1"/>
  <c r="S1004" i="1"/>
  <c r="O1004" i="1"/>
  <c r="N1004" i="1"/>
  <c r="M1004" i="1"/>
  <c r="L1004" i="1"/>
  <c r="K1004" i="1"/>
  <c r="J1004" i="1"/>
  <c r="I1004" i="1"/>
  <c r="H1004" i="1"/>
  <c r="F1004" i="1"/>
  <c r="E1004" i="1"/>
  <c r="D1004" i="1"/>
  <c r="C1004" i="1"/>
  <c r="B1004" i="1"/>
  <c r="AT1003" i="1"/>
  <c r="AS1003" i="1"/>
  <c r="AK1003" i="1"/>
  <c r="AG1003" i="1"/>
  <c r="AF1003" i="1"/>
  <c r="AE1003" i="1"/>
  <c r="AC1003" i="1"/>
  <c r="AA1003" i="1"/>
  <c r="Z1003" i="1"/>
  <c r="Y1003" i="1"/>
  <c r="W1003" i="1"/>
  <c r="O1003" i="1"/>
  <c r="N1003" i="1"/>
  <c r="M1003" i="1"/>
  <c r="L1003" i="1"/>
  <c r="K1003" i="1"/>
  <c r="J1003" i="1"/>
  <c r="I1003" i="1"/>
  <c r="H1003" i="1"/>
  <c r="F1003" i="1"/>
  <c r="E1003" i="1"/>
  <c r="D1003" i="1"/>
  <c r="C1003" i="1"/>
  <c r="B1003" i="1"/>
  <c r="AT1002" i="1"/>
  <c r="AS1002" i="1"/>
  <c r="AK1002" i="1"/>
  <c r="AG1002" i="1"/>
  <c r="AF1002" i="1"/>
  <c r="AE1002" i="1"/>
  <c r="AC1002" i="1"/>
  <c r="AA1002" i="1"/>
  <c r="Z1002" i="1"/>
  <c r="Y1002" i="1"/>
  <c r="W1002" i="1"/>
  <c r="O1002" i="1"/>
  <c r="N1002" i="1"/>
  <c r="M1002" i="1"/>
  <c r="L1002" i="1"/>
  <c r="K1002" i="1"/>
  <c r="J1002" i="1"/>
  <c r="I1002" i="1"/>
  <c r="H1002" i="1"/>
  <c r="F1002" i="1"/>
  <c r="E1002" i="1"/>
  <c r="D1002" i="1"/>
  <c r="C1002" i="1"/>
  <c r="B1002" i="1"/>
  <c r="AT1001" i="1"/>
  <c r="AS1001" i="1"/>
  <c r="AK1001" i="1"/>
  <c r="AG1001" i="1"/>
  <c r="AF1001" i="1"/>
  <c r="AE1001" i="1"/>
  <c r="AC1001" i="1"/>
  <c r="AA1001" i="1"/>
  <c r="Z1001" i="1"/>
  <c r="Y1001" i="1"/>
  <c r="W1001" i="1"/>
  <c r="O1001" i="1"/>
  <c r="N1001" i="1"/>
  <c r="M1001" i="1"/>
  <c r="L1001" i="1"/>
  <c r="K1001" i="1"/>
  <c r="J1001" i="1"/>
  <c r="I1001" i="1"/>
  <c r="H1001" i="1"/>
  <c r="F1001" i="1"/>
  <c r="E1001" i="1"/>
  <c r="D1001" i="1"/>
  <c r="C1001" i="1"/>
  <c r="B1001" i="1"/>
  <c r="AT1000" i="1"/>
  <c r="AS1000" i="1"/>
  <c r="AK1000" i="1"/>
  <c r="AG1000" i="1"/>
  <c r="AF1000" i="1"/>
  <c r="AE1000" i="1"/>
  <c r="AC1000" i="1"/>
  <c r="AA1000" i="1"/>
  <c r="Z1000" i="1"/>
  <c r="Y1000" i="1"/>
  <c r="W1000" i="1"/>
  <c r="O1000" i="1"/>
  <c r="N1000" i="1"/>
  <c r="M1000" i="1"/>
  <c r="L1000" i="1"/>
  <c r="K1000" i="1"/>
  <c r="J1000" i="1"/>
  <c r="I1000" i="1"/>
  <c r="H1000" i="1"/>
  <c r="F1000" i="1"/>
  <c r="E1000" i="1"/>
  <c r="D1000" i="1"/>
  <c r="C1000" i="1"/>
  <c r="B1000" i="1"/>
  <c r="AT999" i="1"/>
  <c r="AS999" i="1"/>
  <c r="AK999" i="1"/>
  <c r="AG999" i="1"/>
  <c r="AF999" i="1"/>
  <c r="AE999" i="1"/>
  <c r="AC999" i="1"/>
  <c r="AA999" i="1"/>
  <c r="Z999" i="1"/>
  <c r="Y999" i="1"/>
  <c r="W999" i="1"/>
  <c r="O999" i="1"/>
  <c r="N999" i="1"/>
  <c r="M999" i="1"/>
  <c r="L999" i="1"/>
  <c r="K999" i="1"/>
  <c r="J999" i="1"/>
  <c r="I999" i="1"/>
  <c r="H999" i="1"/>
  <c r="F999" i="1"/>
  <c r="E999" i="1"/>
  <c r="D999" i="1"/>
  <c r="C999" i="1"/>
  <c r="B999" i="1"/>
  <c r="AT998" i="1"/>
  <c r="AS998" i="1"/>
  <c r="AK998" i="1"/>
  <c r="AG998" i="1"/>
  <c r="AF998" i="1"/>
  <c r="AE998" i="1"/>
  <c r="AC998" i="1"/>
  <c r="AA998" i="1"/>
  <c r="Z998" i="1"/>
  <c r="Y998" i="1"/>
  <c r="W998" i="1"/>
  <c r="O998" i="1"/>
  <c r="N998" i="1"/>
  <c r="M998" i="1"/>
  <c r="L998" i="1"/>
  <c r="K998" i="1"/>
  <c r="J998" i="1"/>
  <c r="I998" i="1"/>
  <c r="H998" i="1"/>
  <c r="G998" i="1"/>
  <c r="F998" i="1"/>
  <c r="E998" i="1"/>
  <c r="D998" i="1"/>
  <c r="C998" i="1"/>
  <c r="B998" i="1"/>
  <c r="AT997" i="1"/>
  <c r="AS997" i="1"/>
  <c r="AK997" i="1"/>
  <c r="AG997" i="1"/>
  <c r="AF997" i="1"/>
  <c r="AE997" i="1"/>
  <c r="AC997" i="1"/>
  <c r="AA997" i="1"/>
  <c r="Z997" i="1"/>
  <c r="Y997" i="1"/>
  <c r="W997" i="1"/>
  <c r="U997" i="1"/>
  <c r="T997" i="1"/>
  <c r="S997" i="1"/>
  <c r="O997" i="1"/>
  <c r="N997" i="1"/>
  <c r="M997" i="1"/>
  <c r="L997" i="1"/>
  <c r="K997" i="1"/>
  <c r="J997" i="1"/>
  <c r="I997" i="1"/>
  <c r="H997" i="1"/>
  <c r="G997" i="1"/>
  <c r="F997" i="1"/>
  <c r="E997" i="1"/>
  <c r="D997" i="1"/>
  <c r="C997" i="1"/>
  <c r="B997" i="1"/>
  <c r="AT996" i="1"/>
  <c r="AS996" i="1"/>
  <c r="AK996" i="1"/>
  <c r="AG996" i="1"/>
  <c r="AF996" i="1"/>
  <c r="AE996" i="1"/>
  <c r="AC996" i="1"/>
  <c r="AA996" i="1"/>
  <c r="Z996" i="1"/>
  <c r="Y996" i="1"/>
  <c r="W996" i="1"/>
  <c r="U996" i="1"/>
  <c r="T996" i="1"/>
  <c r="S996" i="1"/>
  <c r="O996" i="1"/>
  <c r="N996" i="1"/>
  <c r="M996" i="1"/>
  <c r="L996" i="1"/>
  <c r="K996" i="1"/>
  <c r="J996" i="1"/>
  <c r="I996" i="1"/>
  <c r="H996" i="1"/>
  <c r="F996" i="1"/>
  <c r="E996" i="1"/>
  <c r="D996" i="1"/>
  <c r="C996" i="1"/>
  <c r="B996" i="1"/>
  <c r="AT995" i="1"/>
  <c r="AS995" i="1"/>
  <c r="AK995" i="1"/>
  <c r="AG995" i="1"/>
  <c r="AF995" i="1"/>
  <c r="AE995" i="1"/>
  <c r="AC995" i="1"/>
  <c r="AA995" i="1"/>
  <c r="Z995" i="1"/>
  <c r="Y995" i="1"/>
  <c r="W995" i="1"/>
  <c r="O995" i="1"/>
  <c r="N995" i="1"/>
  <c r="M995" i="1"/>
  <c r="L995" i="1"/>
  <c r="K995" i="1"/>
  <c r="J995" i="1"/>
  <c r="I995" i="1"/>
  <c r="H995" i="1"/>
  <c r="F995" i="1"/>
  <c r="E995" i="1"/>
  <c r="D995" i="1"/>
  <c r="C995" i="1"/>
  <c r="B995" i="1"/>
  <c r="AT994" i="1"/>
  <c r="AS994" i="1"/>
  <c r="AK994" i="1"/>
  <c r="AG994" i="1"/>
  <c r="AF994" i="1"/>
  <c r="AE994" i="1"/>
  <c r="AC994" i="1"/>
  <c r="AA994" i="1"/>
  <c r="Z994" i="1"/>
  <c r="Y994" i="1"/>
  <c r="W994" i="1"/>
  <c r="O994" i="1"/>
  <c r="N994" i="1"/>
  <c r="M994" i="1"/>
  <c r="L994" i="1"/>
  <c r="K994" i="1"/>
  <c r="J994" i="1"/>
  <c r="I994" i="1"/>
  <c r="H994" i="1"/>
  <c r="F994" i="1"/>
  <c r="E994" i="1"/>
  <c r="D994" i="1"/>
  <c r="C994" i="1"/>
  <c r="B994" i="1"/>
  <c r="AT993" i="1"/>
  <c r="AS993" i="1"/>
  <c r="AK993" i="1"/>
  <c r="AG993" i="1"/>
  <c r="AF993" i="1"/>
  <c r="AE993" i="1"/>
  <c r="AC993" i="1"/>
  <c r="AA993" i="1"/>
  <c r="Z993" i="1"/>
  <c r="Y993" i="1"/>
  <c r="W993" i="1"/>
  <c r="O993" i="1"/>
  <c r="N993" i="1"/>
  <c r="M993" i="1"/>
  <c r="L993" i="1"/>
  <c r="K993" i="1"/>
  <c r="J993" i="1"/>
  <c r="I993" i="1"/>
  <c r="H993" i="1"/>
  <c r="G993" i="1"/>
  <c r="F993" i="1"/>
  <c r="E993" i="1"/>
  <c r="D993" i="1"/>
  <c r="C993" i="1"/>
  <c r="B993" i="1"/>
  <c r="AT992" i="1"/>
  <c r="AS992" i="1"/>
  <c r="AK992" i="1"/>
  <c r="AG992" i="1"/>
  <c r="AF992" i="1"/>
  <c r="AE992" i="1"/>
  <c r="AC992" i="1"/>
  <c r="AA992" i="1"/>
  <c r="Z992" i="1"/>
  <c r="Y992" i="1"/>
  <c r="W992" i="1"/>
  <c r="O992" i="1"/>
  <c r="N992" i="1"/>
  <c r="M992" i="1"/>
  <c r="L992" i="1"/>
  <c r="K992" i="1"/>
  <c r="J992" i="1"/>
  <c r="I992" i="1"/>
  <c r="H992" i="1"/>
  <c r="F992" i="1"/>
  <c r="E992" i="1"/>
  <c r="D992" i="1"/>
  <c r="C992" i="1"/>
  <c r="B992" i="1"/>
  <c r="AT991" i="1"/>
  <c r="AS991" i="1"/>
  <c r="AK991" i="1"/>
  <c r="AG991" i="1"/>
  <c r="AF991" i="1"/>
  <c r="AE991" i="1"/>
  <c r="AC991" i="1"/>
  <c r="AA991" i="1"/>
  <c r="Z991" i="1"/>
  <c r="Y991" i="1"/>
  <c r="W991" i="1"/>
  <c r="O991" i="1"/>
  <c r="N991" i="1"/>
  <c r="M991" i="1"/>
  <c r="L991" i="1"/>
  <c r="K991" i="1"/>
  <c r="J991" i="1"/>
  <c r="I991" i="1"/>
  <c r="H991" i="1"/>
  <c r="F991" i="1"/>
  <c r="E991" i="1"/>
  <c r="D991" i="1"/>
  <c r="C991" i="1"/>
  <c r="B991" i="1"/>
  <c r="AT990" i="1"/>
  <c r="AS990" i="1"/>
  <c r="AK990" i="1"/>
  <c r="AG990" i="1"/>
  <c r="AF990" i="1"/>
  <c r="AE990" i="1"/>
  <c r="AC990" i="1"/>
  <c r="AA990" i="1"/>
  <c r="Z990" i="1"/>
  <c r="Y990" i="1"/>
  <c r="W990" i="1"/>
  <c r="O990" i="1"/>
  <c r="N990" i="1"/>
  <c r="M990" i="1"/>
  <c r="L990" i="1"/>
  <c r="K990" i="1"/>
  <c r="J990" i="1"/>
  <c r="I990" i="1"/>
  <c r="H990" i="1"/>
  <c r="F990" i="1"/>
  <c r="E990" i="1"/>
  <c r="D990" i="1"/>
  <c r="C990" i="1"/>
  <c r="B990" i="1"/>
  <c r="AT989" i="1"/>
  <c r="AS989" i="1"/>
  <c r="AK989" i="1"/>
  <c r="AG989" i="1"/>
  <c r="AF989" i="1"/>
  <c r="AE989" i="1"/>
  <c r="AC989" i="1"/>
  <c r="AA989" i="1"/>
  <c r="Z989" i="1"/>
  <c r="Y989" i="1"/>
  <c r="W989" i="1"/>
  <c r="O989" i="1"/>
  <c r="N989" i="1"/>
  <c r="M989" i="1"/>
  <c r="L989" i="1"/>
  <c r="K989" i="1"/>
  <c r="J989" i="1"/>
  <c r="I989" i="1"/>
  <c r="H989" i="1"/>
  <c r="F989" i="1"/>
  <c r="E989" i="1"/>
  <c r="D989" i="1"/>
  <c r="C989" i="1"/>
  <c r="B989" i="1"/>
  <c r="AT988" i="1"/>
  <c r="AS988" i="1"/>
  <c r="AK988" i="1"/>
  <c r="AG988" i="1"/>
  <c r="AF988" i="1"/>
  <c r="AE988" i="1"/>
  <c r="AC988" i="1"/>
  <c r="AA988" i="1"/>
  <c r="Z988" i="1"/>
  <c r="Y988" i="1"/>
  <c r="W988" i="1"/>
  <c r="O988" i="1"/>
  <c r="N988" i="1"/>
  <c r="M988" i="1"/>
  <c r="L988" i="1"/>
  <c r="K988" i="1"/>
  <c r="J988" i="1"/>
  <c r="I988" i="1"/>
  <c r="H988" i="1"/>
  <c r="F988" i="1"/>
  <c r="E988" i="1"/>
  <c r="D988" i="1"/>
  <c r="C988" i="1"/>
  <c r="B988" i="1"/>
  <c r="AT987" i="1"/>
  <c r="AS987" i="1"/>
  <c r="AK987" i="1"/>
  <c r="AG987" i="1"/>
  <c r="AF987" i="1"/>
  <c r="AE987" i="1"/>
  <c r="AC987" i="1"/>
  <c r="AA987" i="1"/>
  <c r="Z987" i="1"/>
  <c r="Y987" i="1"/>
  <c r="W987" i="1"/>
  <c r="O987" i="1"/>
  <c r="N987" i="1"/>
  <c r="M987" i="1"/>
  <c r="L987" i="1"/>
  <c r="K987" i="1"/>
  <c r="J987" i="1"/>
  <c r="I987" i="1"/>
  <c r="H987" i="1"/>
  <c r="G987" i="1"/>
  <c r="F987" i="1"/>
  <c r="E987" i="1"/>
  <c r="D987" i="1"/>
  <c r="C987" i="1"/>
  <c r="B987" i="1"/>
  <c r="AT986" i="1"/>
  <c r="AS986" i="1"/>
  <c r="AK986" i="1"/>
  <c r="AG986" i="1"/>
  <c r="AF986" i="1"/>
  <c r="AE986" i="1"/>
  <c r="AC986" i="1"/>
  <c r="AA986" i="1"/>
  <c r="Z986" i="1"/>
  <c r="Y986" i="1"/>
  <c r="W986" i="1"/>
  <c r="U986" i="1"/>
  <c r="T986" i="1"/>
  <c r="S986" i="1"/>
  <c r="O986" i="1"/>
  <c r="N986" i="1"/>
  <c r="M986" i="1"/>
  <c r="L986" i="1"/>
  <c r="K986" i="1"/>
  <c r="J986" i="1"/>
  <c r="I986" i="1"/>
  <c r="H986" i="1"/>
  <c r="F986" i="1"/>
  <c r="E986" i="1"/>
  <c r="D986" i="1"/>
  <c r="C986" i="1"/>
  <c r="B986" i="1"/>
  <c r="AT985" i="1"/>
  <c r="AS985" i="1"/>
  <c r="AK985" i="1"/>
  <c r="AG985" i="1"/>
  <c r="AF985" i="1"/>
  <c r="AE985" i="1"/>
  <c r="AC985" i="1"/>
  <c r="AA985" i="1"/>
  <c r="Z985" i="1"/>
  <c r="Y985" i="1"/>
  <c r="W985" i="1"/>
  <c r="O985" i="1"/>
  <c r="N985" i="1"/>
  <c r="M985" i="1"/>
  <c r="L985" i="1"/>
  <c r="K985" i="1"/>
  <c r="J985" i="1"/>
  <c r="I985" i="1"/>
  <c r="H985" i="1"/>
  <c r="F985" i="1"/>
  <c r="E985" i="1"/>
  <c r="D985" i="1"/>
  <c r="C985" i="1"/>
  <c r="B985" i="1"/>
  <c r="AT984" i="1"/>
  <c r="AS984" i="1"/>
  <c r="AK984" i="1"/>
  <c r="AG984" i="1"/>
  <c r="AF984" i="1"/>
  <c r="AE984" i="1"/>
  <c r="AC984" i="1"/>
  <c r="AA984" i="1"/>
  <c r="Z984" i="1"/>
  <c r="Y984" i="1"/>
  <c r="W984" i="1"/>
  <c r="O984" i="1"/>
  <c r="N984" i="1"/>
  <c r="M984" i="1"/>
  <c r="L984" i="1"/>
  <c r="K984" i="1"/>
  <c r="J984" i="1"/>
  <c r="I984" i="1"/>
  <c r="H984" i="1"/>
  <c r="F984" i="1"/>
  <c r="E984" i="1"/>
  <c r="D984" i="1"/>
  <c r="C984" i="1"/>
  <c r="B984" i="1"/>
  <c r="AT983" i="1"/>
  <c r="AS983" i="1"/>
  <c r="AK983" i="1"/>
  <c r="AG983" i="1"/>
  <c r="AF983" i="1"/>
  <c r="AE983" i="1"/>
  <c r="AC983" i="1"/>
  <c r="AA983" i="1"/>
  <c r="Z983" i="1"/>
  <c r="Y983" i="1"/>
  <c r="W983" i="1"/>
  <c r="O983" i="1"/>
  <c r="N983" i="1"/>
  <c r="M983" i="1"/>
  <c r="L983" i="1"/>
  <c r="K983" i="1"/>
  <c r="J983" i="1"/>
  <c r="I983" i="1"/>
  <c r="H983" i="1"/>
  <c r="F983" i="1"/>
  <c r="E983" i="1"/>
  <c r="D983" i="1"/>
  <c r="C983" i="1"/>
  <c r="B983" i="1"/>
  <c r="AT982" i="1"/>
  <c r="AS982" i="1"/>
  <c r="AK982" i="1"/>
  <c r="AG982" i="1"/>
  <c r="AF982" i="1"/>
  <c r="AE982" i="1"/>
  <c r="AC982" i="1"/>
  <c r="AA982" i="1"/>
  <c r="Z982" i="1"/>
  <c r="Y982" i="1"/>
  <c r="W982" i="1"/>
  <c r="O982" i="1"/>
  <c r="N982" i="1"/>
  <c r="M982" i="1"/>
  <c r="L982" i="1"/>
  <c r="K982" i="1"/>
  <c r="J982" i="1"/>
  <c r="I982" i="1"/>
  <c r="H982" i="1"/>
  <c r="F982" i="1"/>
  <c r="E982" i="1"/>
  <c r="D982" i="1"/>
  <c r="C982" i="1"/>
  <c r="B982" i="1"/>
  <c r="AT981" i="1"/>
  <c r="AS981" i="1"/>
  <c r="AK981" i="1"/>
  <c r="AG981" i="1"/>
  <c r="AF981" i="1"/>
  <c r="AE981" i="1"/>
  <c r="AC981" i="1"/>
  <c r="AA981" i="1"/>
  <c r="Z981" i="1"/>
  <c r="Y981" i="1"/>
  <c r="W981" i="1"/>
  <c r="O981" i="1"/>
  <c r="N981" i="1"/>
  <c r="M981" i="1"/>
  <c r="L981" i="1"/>
  <c r="K981" i="1"/>
  <c r="J981" i="1"/>
  <c r="I981" i="1"/>
  <c r="H981" i="1"/>
  <c r="G981" i="1"/>
  <c r="F981" i="1"/>
  <c r="E981" i="1"/>
  <c r="D981" i="1"/>
  <c r="C981" i="1"/>
  <c r="B981" i="1"/>
  <c r="AT980" i="1"/>
  <c r="AS980" i="1"/>
  <c r="AK980" i="1"/>
  <c r="AG980" i="1"/>
  <c r="AF980" i="1"/>
  <c r="AE980" i="1"/>
  <c r="AC980" i="1"/>
  <c r="AA980" i="1"/>
  <c r="Z980" i="1"/>
  <c r="Y980" i="1"/>
  <c r="W980" i="1"/>
  <c r="O980" i="1"/>
  <c r="N980" i="1"/>
  <c r="M980" i="1"/>
  <c r="L980" i="1"/>
  <c r="K980" i="1"/>
  <c r="J980" i="1"/>
  <c r="I980" i="1"/>
  <c r="H980" i="1"/>
  <c r="G980" i="1"/>
  <c r="F980" i="1"/>
  <c r="E980" i="1"/>
  <c r="D980" i="1"/>
  <c r="C980" i="1"/>
  <c r="B980" i="1"/>
  <c r="AT979" i="1"/>
  <c r="AS979" i="1"/>
  <c r="AK979" i="1"/>
  <c r="AG979" i="1"/>
  <c r="AF979" i="1"/>
  <c r="AE979" i="1"/>
  <c r="AC979" i="1"/>
  <c r="AA979" i="1"/>
  <c r="Z979" i="1"/>
  <c r="Y979" i="1"/>
  <c r="W979" i="1"/>
  <c r="O979" i="1"/>
  <c r="N979" i="1"/>
  <c r="M979" i="1"/>
  <c r="L979" i="1"/>
  <c r="K979" i="1"/>
  <c r="J979" i="1"/>
  <c r="I979" i="1"/>
  <c r="H979" i="1"/>
  <c r="F979" i="1"/>
  <c r="E979" i="1"/>
  <c r="D979" i="1"/>
  <c r="C979" i="1"/>
  <c r="B979" i="1"/>
  <c r="AT978" i="1"/>
  <c r="AS978" i="1"/>
  <c r="AK978" i="1"/>
  <c r="AG978" i="1"/>
  <c r="AF978" i="1"/>
  <c r="AE978" i="1"/>
  <c r="AC978" i="1"/>
  <c r="AA978" i="1"/>
  <c r="Z978" i="1"/>
  <c r="Y978" i="1"/>
  <c r="W978" i="1"/>
  <c r="O978" i="1"/>
  <c r="N978" i="1"/>
  <c r="M978" i="1"/>
  <c r="L978" i="1"/>
  <c r="K978" i="1"/>
  <c r="J978" i="1"/>
  <c r="I978" i="1"/>
  <c r="H978" i="1"/>
  <c r="F978" i="1"/>
  <c r="E978" i="1"/>
  <c r="D978" i="1"/>
  <c r="C978" i="1"/>
  <c r="B978" i="1"/>
  <c r="AT977" i="1"/>
  <c r="AS977" i="1"/>
  <c r="AK977" i="1"/>
  <c r="AG977" i="1"/>
  <c r="AF977" i="1"/>
  <c r="AE977" i="1"/>
  <c r="AC977" i="1"/>
  <c r="AA977" i="1"/>
  <c r="Z977" i="1"/>
  <c r="Y977" i="1"/>
  <c r="W977" i="1"/>
  <c r="O977" i="1"/>
  <c r="N977" i="1"/>
  <c r="M977" i="1"/>
  <c r="L977" i="1"/>
  <c r="K977" i="1"/>
  <c r="J977" i="1"/>
  <c r="I977" i="1"/>
  <c r="H977" i="1"/>
  <c r="G977" i="1"/>
  <c r="F977" i="1"/>
  <c r="E977" i="1"/>
  <c r="D977" i="1"/>
  <c r="C977" i="1"/>
  <c r="B977" i="1"/>
  <c r="AT976" i="1"/>
  <c r="AS976" i="1"/>
  <c r="AK976" i="1"/>
  <c r="AG976" i="1"/>
  <c r="AF976" i="1"/>
  <c r="AE976" i="1"/>
  <c r="AC976" i="1"/>
  <c r="AA976" i="1"/>
  <c r="Z976" i="1"/>
  <c r="Y976" i="1"/>
  <c r="W976" i="1"/>
  <c r="O976" i="1"/>
  <c r="N976" i="1"/>
  <c r="M976" i="1"/>
  <c r="L976" i="1"/>
  <c r="K976" i="1"/>
  <c r="J976" i="1"/>
  <c r="I976" i="1"/>
  <c r="H976" i="1"/>
  <c r="F976" i="1"/>
  <c r="E976" i="1"/>
  <c r="D976" i="1"/>
  <c r="C976" i="1"/>
  <c r="B976" i="1"/>
  <c r="B12" i="1"/>
  <c r="C12" i="1"/>
  <c r="D12" i="1"/>
  <c r="E12" i="1"/>
  <c r="F12" i="1"/>
  <c r="H12" i="1"/>
  <c r="I12" i="1"/>
  <c r="J12" i="1"/>
  <c r="K12" i="1"/>
  <c r="L12" i="1"/>
  <c r="M12" i="1"/>
  <c r="N12" i="1"/>
  <c r="O12" i="1"/>
  <c r="W12" i="1"/>
  <c r="Y12" i="1"/>
  <c r="Z12" i="1"/>
  <c r="AA12" i="1"/>
  <c r="AC12" i="1"/>
  <c r="AE12" i="1"/>
  <c r="AF12" i="1"/>
  <c r="AG12" i="1"/>
  <c r="AK12" i="1"/>
  <c r="AS12" i="1"/>
  <c r="AT12" i="1"/>
  <c r="B13" i="1"/>
  <c r="C13" i="1"/>
  <c r="D13" i="1"/>
  <c r="E13" i="1"/>
  <c r="F13" i="1"/>
  <c r="H13" i="1"/>
  <c r="I13" i="1"/>
  <c r="J13" i="1"/>
  <c r="K13" i="1"/>
  <c r="L13" i="1"/>
  <c r="M13" i="1"/>
  <c r="N13" i="1"/>
  <c r="O13" i="1"/>
  <c r="W13" i="1"/>
  <c r="Y13" i="1"/>
  <c r="Z13" i="1"/>
  <c r="AA13" i="1"/>
  <c r="AC13" i="1"/>
  <c r="AE13" i="1"/>
  <c r="AF13" i="1"/>
  <c r="AG13" i="1"/>
  <c r="AK13" i="1"/>
  <c r="AS13" i="1"/>
  <c r="AT13" i="1"/>
  <c r="B14" i="1"/>
  <c r="C14" i="1"/>
  <c r="D14" i="1"/>
  <c r="E14" i="1"/>
  <c r="F14" i="1"/>
  <c r="H14" i="1"/>
  <c r="I14" i="1"/>
  <c r="J14" i="1"/>
  <c r="K14" i="1"/>
  <c r="L14" i="1"/>
  <c r="M14" i="1"/>
  <c r="N14" i="1"/>
  <c r="O14" i="1"/>
  <c r="W14" i="1"/>
  <c r="Y14" i="1"/>
  <c r="Z14" i="1"/>
  <c r="AA14" i="1"/>
  <c r="AC14" i="1"/>
  <c r="AE14" i="1"/>
  <c r="AF14" i="1"/>
  <c r="AG14" i="1"/>
  <c r="AK14" i="1"/>
  <c r="AS14" i="1"/>
  <c r="AT14" i="1"/>
  <c r="B15" i="1"/>
  <c r="C15" i="1"/>
  <c r="D15" i="1"/>
  <c r="E15" i="1"/>
  <c r="F15" i="1"/>
  <c r="H15" i="1"/>
  <c r="I15" i="1"/>
  <c r="J15" i="1"/>
  <c r="K15" i="1"/>
  <c r="L15" i="1"/>
  <c r="M15" i="1"/>
  <c r="N15" i="1"/>
  <c r="O15" i="1"/>
  <c r="W15" i="1"/>
  <c r="Y15" i="1"/>
  <c r="Z15" i="1"/>
  <c r="AA15" i="1"/>
  <c r="AC15" i="1"/>
  <c r="AE15" i="1"/>
  <c r="AF15" i="1"/>
  <c r="AG15" i="1"/>
  <c r="AK15" i="1"/>
  <c r="AS15" i="1"/>
  <c r="AT15" i="1"/>
  <c r="B16" i="1"/>
  <c r="C16" i="1"/>
  <c r="D16" i="1"/>
  <c r="E16" i="1"/>
  <c r="F16" i="1"/>
  <c r="H16" i="1"/>
  <c r="I16" i="1"/>
  <c r="J16" i="1"/>
  <c r="K16" i="1"/>
  <c r="L16" i="1"/>
  <c r="M16" i="1"/>
  <c r="N16" i="1"/>
  <c r="O16" i="1"/>
  <c r="W16" i="1"/>
  <c r="Y16" i="1"/>
  <c r="Z16" i="1"/>
  <c r="AA16" i="1"/>
  <c r="AC16" i="1"/>
  <c r="AE16" i="1"/>
  <c r="AF16" i="1"/>
  <c r="AG16" i="1"/>
  <c r="AK16" i="1"/>
  <c r="AS16" i="1"/>
  <c r="AT16" i="1"/>
  <c r="B17" i="1"/>
  <c r="C17" i="1"/>
  <c r="D17" i="1"/>
  <c r="E17" i="1"/>
  <c r="F17" i="1"/>
  <c r="H17" i="1"/>
  <c r="I17" i="1"/>
  <c r="J17" i="1"/>
  <c r="K17" i="1"/>
  <c r="L17" i="1"/>
  <c r="M17" i="1"/>
  <c r="N17" i="1"/>
  <c r="O17" i="1"/>
  <c r="W17" i="1"/>
  <c r="Y17" i="1"/>
  <c r="Z17" i="1"/>
  <c r="AA17" i="1"/>
  <c r="AC17" i="1"/>
  <c r="AE17" i="1"/>
  <c r="AF17" i="1"/>
  <c r="AG17" i="1"/>
  <c r="AK17" i="1"/>
  <c r="AS17" i="1"/>
  <c r="AT17" i="1"/>
  <c r="B18" i="1"/>
  <c r="C18" i="1"/>
  <c r="D18" i="1"/>
  <c r="E18" i="1"/>
  <c r="F18" i="1"/>
  <c r="H18" i="1"/>
  <c r="I18" i="1"/>
  <c r="J18" i="1"/>
  <c r="K18" i="1"/>
  <c r="L18" i="1"/>
  <c r="M18" i="1"/>
  <c r="N18" i="1"/>
  <c r="O18" i="1"/>
  <c r="W18" i="1"/>
  <c r="Y18" i="1"/>
  <c r="Z18" i="1"/>
  <c r="AA18" i="1"/>
  <c r="AC18" i="1"/>
  <c r="AE18" i="1"/>
  <c r="AF18" i="1"/>
  <c r="AG18" i="1"/>
  <c r="AK18" i="1"/>
  <c r="AS18" i="1"/>
  <c r="AT18" i="1"/>
  <c r="B19" i="1"/>
  <c r="C19" i="1"/>
  <c r="D19" i="1"/>
  <c r="E19" i="1"/>
  <c r="F19" i="1"/>
  <c r="G19" i="1"/>
  <c r="H19" i="1"/>
  <c r="I19" i="1"/>
  <c r="J19" i="1"/>
  <c r="K19" i="1"/>
  <c r="L19" i="1"/>
  <c r="M19" i="1"/>
  <c r="N19" i="1"/>
  <c r="O19" i="1"/>
  <c r="W19" i="1"/>
  <c r="Y19" i="1"/>
  <c r="Z19" i="1"/>
  <c r="AA19" i="1"/>
  <c r="AC19" i="1"/>
  <c r="AE19" i="1"/>
  <c r="AF19" i="1"/>
  <c r="AG19" i="1"/>
  <c r="AK19" i="1"/>
  <c r="AS19" i="1"/>
  <c r="AT19" i="1"/>
  <c r="B20" i="1"/>
  <c r="C20" i="1"/>
  <c r="D20" i="1"/>
  <c r="E20" i="1"/>
  <c r="F20" i="1"/>
  <c r="H20" i="1"/>
  <c r="I20" i="1"/>
  <c r="J20" i="1"/>
  <c r="K20" i="1"/>
  <c r="L20" i="1"/>
  <c r="M20" i="1"/>
  <c r="N20" i="1"/>
  <c r="O20" i="1"/>
  <c r="W20" i="1"/>
  <c r="Y20" i="1"/>
  <c r="Z20" i="1"/>
  <c r="AA20" i="1"/>
  <c r="AC20" i="1"/>
  <c r="AE20" i="1"/>
  <c r="AF20" i="1"/>
  <c r="AG20" i="1"/>
  <c r="AK20" i="1"/>
  <c r="AS20" i="1"/>
  <c r="AT20" i="1"/>
  <c r="B21" i="1"/>
  <c r="C21" i="1"/>
  <c r="D21" i="1"/>
  <c r="E21" i="1"/>
  <c r="F21" i="1"/>
  <c r="H21" i="1"/>
  <c r="I21" i="1"/>
  <c r="J21" i="1"/>
  <c r="K21" i="1"/>
  <c r="L21" i="1"/>
  <c r="M21" i="1"/>
  <c r="N21" i="1"/>
  <c r="O21" i="1"/>
  <c r="W21" i="1"/>
  <c r="Y21" i="1"/>
  <c r="Z21" i="1"/>
  <c r="AA21" i="1"/>
  <c r="AC21" i="1"/>
  <c r="AE21" i="1"/>
  <c r="AF21" i="1"/>
  <c r="AG21" i="1"/>
  <c r="AK21" i="1"/>
  <c r="AS21" i="1"/>
  <c r="AT21" i="1"/>
  <c r="B22" i="1"/>
  <c r="C22" i="1"/>
  <c r="D22" i="1"/>
  <c r="E22" i="1"/>
  <c r="F22" i="1"/>
  <c r="G22" i="1"/>
  <c r="H22" i="1"/>
  <c r="I22" i="1"/>
  <c r="J22" i="1"/>
  <c r="K22" i="1"/>
  <c r="L22" i="1"/>
  <c r="M22" i="1"/>
  <c r="N22" i="1"/>
  <c r="O22" i="1"/>
  <c r="W22" i="1"/>
  <c r="Y22" i="1"/>
  <c r="Z22" i="1"/>
  <c r="AA22" i="1"/>
  <c r="AC22" i="1"/>
  <c r="AE22" i="1"/>
  <c r="AF22" i="1"/>
  <c r="AG22" i="1"/>
  <c r="AK22" i="1"/>
  <c r="AS22" i="1"/>
  <c r="AT22" i="1"/>
  <c r="B23" i="1"/>
  <c r="C23" i="1"/>
  <c r="D23" i="1"/>
  <c r="E23" i="1"/>
  <c r="F23" i="1"/>
  <c r="H23" i="1"/>
  <c r="I23" i="1"/>
  <c r="J23" i="1"/>
  <c r="K23" i="1"/>
  <c r="L23" i="1"/>
  <c r="M23" i="1"/>
  <c r="N23" i="1"/>
  <c r="O23" i="1"/>
  <c r="W23" i="1"/>
  <c r="Y23" i="1"/>
  <c r="Z23" i="1"/>
  <c r="AA23" i="1"/>
  <c r="AC23" i="1"/>
  <c r="AD23" i="1"/>
  <c r="AE23" i="1"/>
  <c r="AF23" i="1"/>
  <c r="AG23" i="1"/>
  <c r="AK23" i="1"/>
  <c r="AS23" i="1"/>
  <c r="AT23" i="1"/>
  <c r="B24" i="1"/>
  <c r="C24" i="1"/>
  <c r="D24" i="1"/>
  <c r="E24" i="1"/>
  <c r="F24" i="1"/>
  <c r="H24" i="1"/>
  <c r="I24" i="1"/>
  <c r="J24" i="1"/>
  <c r="K24" i="1"/>
  <c r="L24" i="1"/>
  <c r="M24" i="1"/>
  <c r="N24" i="1"/>
  <c r="O24" i="1"/>
  <c r="W24" i="1"/>
  <c r="Y24" i="1"/>
  <c r="Z24" i="1"/>
  <c r="AA24" i="1"/>
  <c r="AC24" i="1"/>
  <c r="AD24" i="1"/>
  <c r="AE24" i="1"/>
  <c r="AF24" i="1"/>
  <c r="AG24" i="1"/>
  <c r="AK24" i="1"/>
  <c r="AS24" i="1"/>
  <c r="AT24" i="1"/>
  <c r="B25" i="1"/>
  <c r="C25" i="1"/>
  <c r="D25" i="1"/>
  <c r="E25" i="1"/>
  <c r="F25" i="1"/>
  <c r="G25" i="1"/>
  <c r="H25" i="1"/>
  <c r="I25" i="1"/>
  <c r="J25" i="1"/>
  <c r="K25" i="1"/>
  <c r="L25" i="1"/>
  <c r="M25" i="1"/>
  <c r="N25" i="1"/>
  <c r="O25" i="1"/>
  <c r="W25" i="1"/>
  <c r="Y25" i="1"/>
  <c r="Z25" i="1"/>
  <c r="AA25" i="1"/>
  <c r="AC25" i="1"/>
  <c r="AE25" i="1"/>
  <c r="AF25" i="1"/>
  <c r="AG25" i="1"/>
  <c r="AK25" i="1"/>
  <c r="AS25" i="1"/>
  <c r="AT25" i="1"/>
  <c r="B26" i="1"/>
  <c r="C26" i="1"/>
  <c r="D26" i="1"/>
  <c r="E26" i="1"/>
  <c r="F26" i="1"/>
  <c r="H26" i="1"/>
  <c r="I26" i="1"/>
  <c r="J26" i="1"/>
  <c r="K26" i="1"/>
  <c r="L26" i="1"/>
  <c r="M26" i="1"/>
  <c r="N26" i="1"/>
  <c r="O26" i="1"/>
  <c r="W26" i="1"/>
  <c r="Y26" i="1"/>
  <c r="Z26" i="1"/>
  <c r="AA26" i="1"/>
  <c r="AC26" i="1"/>
  <c r="AE26" i="1"/>
  <c r="AF26" i="1"/>
  <c r="AG26" i="1"/>
  <c r="AK26" i="1"/>
  <c r="AS26" i="1"/>
  <c r="AT26" i="1"/>
  <c r="B27" i="1"/>
  <c r="C27" i="1"/>
  <c r="D27" i="1"/>
  <c r="E27" i="1"/>
  <c r="F27" i="1"/>
  <c r="H27" i="1"/>
  <c r="I27" i="1"/>
  <c r="J27" i="1"/>
  <c r="K27" i="1"/>
  <c r="L27" i="1"/>
  <c r="M27" i="1"/>
  <c r="N27" i="1"/>
  <c r="O27" i="1"/>
  <c r="W27" i="1"/>
  <c r="Y27" i="1"/>
  <c r="Z27" i="1"/>
  <c r="AA27" i="1"/>
  <c r="AC27" i="1"/>
  <c r="AE27" i="1"/>
  <c r="AF27" i="1"/>
  <c r="AG27" i="1"/>
  <c r="AK27" i="1"/>
  <c r="AS27" i="1"/>
  <c r="AT27" i="1"/>
  <c r="B28" i="1"/>
  <c r="C28" i="1"/>
  <c r="D28" i="1"/>
  <c r="E28" i="1"/>
  <c r="F28" i="1"/>
  <c r="H28" i="1"/>
  <c r="I28" i="1"/>
  <c r="J28" i="1"/>
  <c r="K28" i="1"/>
  <c r="L28" i="1"/>
  <c r="M28" i="1"/>
  <c r="N28" i="1"/>
  <c r="O28" i="1"/>
  <c r="W28" i="1"/>
  <c r="Y28" i="1"/>
  <c r="Z28" i="1"/>
  <c r="AA28" i="1"/>
  <c r="AC28" i="1"/>
  <c r="AE28" i="1"/>
  <c r="AF28" i="1"/>
  <c r="AG28" i="1"/>
  <c r="AK28" i="1"/>
  <c r="AS28" i="1"/>
  <c r="AT28" i="1"/>
  <c r="B29" i="1"/>
  <c r="C29" i="1"/>
  <c r="D29" i="1"/>
  <c r="E29" i="1"/>
  <c r="F29" i="1"/>
  <c r="H29" i="1"/>
  <c r="I29" i="1"/>
  <c r="J29" i="1"/>
  <c r="K29" i="1"/>
  <c r="L29" i="1"/>
  <c r="M29" i="1"/>
  <c r="N29" i="1"/>
  <c r="O29" i="1"/>
  <c r="W29" i="1"/>
  <c r="Y29" i="1"/>
  <c r="Z29" i="1"/>
  <c r="AA29" i="1"/>
  <c r="AC29" i="1"/>
  <c r="AE29" i="1"/>
  <c r="AF29" i="1"/>
  <c r="AG29" i="1"/>
  <c r="AK29" i="1"/>
  <c r="AS29" i="1"/>
  <c r="AT29" i="1"/>
  <c r="B30" i="1"/>
  <c r="C30" i="1"/>
  <c r="D30" i="1"/>
  <c r="E30" i="1"/>
  <c r="F30" i="1"/>
  <c r="H30" i="1"/>
  <c r="I30" i="1"/>
  <c r="J30" i="1"/>
  <c r="K30" i="1"/>
  <c r="L30" i="1"/>
  <c r="M30" i="1"/>
  <c r="N30" i="1"/>
  <c r="O30" i="1"/>
  <c r="S30" i="1"/>
  <c r="U30" i="1"/>
  <c r="W30" i="1"/>
  <c r="Y30" i="1"/>
  <c r="Z30" i="1"/>
  <c r="AA30" i="1"/>
  <c r="AC30" i="1"/>
  <c r="AE30" i="1"/>
  <c r="AF30" i="1"/>
  <c r="AG30" i="1"/>
  <c r="AK30" i="1"/>
  <c r="AS30" i="1"/>
  <c r="AT30" i="1"/>
  <c r="B31" i="1"/>
  <c r="C31" i="1"/>
  <c r="D31" i="1"/>
  <c r="E31" i="1"/>
  <c r="F31" i="1"/>
  <c r="H31" i="1"/>
  <c r="I31" i="1"/>
  <c r="J31" i="1"/>
  <c r="K31" i="1"/>
  <c r="L31" i="1"/>
  <c r="M31" i="1"/>
  <c r="N31" i="1"/>
  <c r="O31" i="1"/>
  <c r="W31" i="1"/>
  <c r="Y31" i="1"/>
  <c r="Z31" i="1"/>
  <c r="AA31" i="1"/>
  <c r="AC31" i="1"/>
  <c r="AE31" i="1"/>
  <c r="AF31" i="1"/>
  <c r="AG31" i="1"/>
  <c r="AK31" i="1"/>
  <c r="AS31" i="1"/>
  <c r="AT31" i="1"/>
  <c r="B32" i="1"/>
  <c r="C32" i="1"/>
  <c r="D32" i="1"/>
  <c r="E32" i="1"/>
  <c r="F32" i="1"/>
  <c r="H32" i="1"/>
  <c r="I32" i="1"/>
  <c r="J32" i="1"/>
  <c r="K32" i="1"/>
  <c r="L32" i="1"/>
  <c r="M32" i="1"/>
  <c r="N32" i="1"/>
  <c r="O32" i="1"/>
  <c r="S32" i="1"/>
  <c r="T32" i="1"/>
  <c r="U32" i="1"/>
  <c r="W32" i="1"/>
  <c r="Y32" i="1"/>
  <c r="Z32" i="1"/>
  <c r="AA32" i="1"/>
  <c r="AC32" i="1"/>
  <c r="AE32" i="1"/>
  <c r="AF32" i="1"/>
  <c r="AG32" i="1"/>
  <c r="AK32" i="1"/>
  <c r="AS32" i="1"/>
  <c r="AT32" i="1"/>
  <c r="B33" i="1"/>
  <c r="C33" i="1"/>
  <c r="D33" i="1"/>
  <c r="E33" i="1"/>
  <c r="F33" i="1"/>
  <c r="H33" i="1"/>
  <c r="I33" i="1"/>
  <c r="J33" i="1"/>
  <c r="K33" i="1"/>
  <c r="L33" i="1"/>
  <c r="M33" i="1"/>
  <c r="N33" i="1"/>
  <c r="O33" i="1"/>
  <c r="W33" i="1"/>
  <c r="Y33" i="1"/>
  <c r="Z33" i="1"/>
  <c r="AA33" i="1"/>
  <c r="AC33" i="1"/>
  <c r="AE33" i="1"/>
  <c r="AF33" i="1"/>
  <c r="AG33" i="1"/>
  <c r="AK33" i="1"/>
  <c r="AS33" i="1"/>
  <c r="AT33" i="1"/>
  <c r="B34" i="1"/>
  <c r="C34" i="1"/>
  <c r="D34" i="1"/>
  <c r="E34" i="1"/>
  <c r="F34" i="1"/>
  <c r="H34" i="1"/>
  <c r="I34" i="1"/>
  <c r="J34" i="1"/>
  <c r="K34" i="1"/>
  <c r="L34" i="1"/>
  <c r="M34" i="1"/>
  <c r="N34" i="1"/>
  <c r="O34" i="1"/>
  <c r="W34" i="1"/>
  <c r="Y34" i="1"/>
  <c r="Z34" i="1"/>
  <c r="AA34" i="1"/>
  <c r="AC34" i="1"/>
  <c r="AE34" i="1"/>
  <c r="AF34" i="1"/>
  <c r="AG34" i="1"/>
  <c r="AK34" i="1"/>
  <c r="AS34" i="1"/>
  <c r="AT34" i="1"/>
  <c r="B35" i="1"/>
  <c r="C35" i="1"/>
  <c r="D35" i="1"/>
  <c r="E35" i="1"/>
  <c r="F35" i="1"/>
  <c r="H35" i="1"/>
  <c r="I35" i="1"/>
  <c r="J35" i="1"/>
  <c r="K35" i="1"/>
  <c r="L35" i="1"/>
  <c r="M35" i="1"/>
  <c r="N35" i="1"/>
  <c r="O35" i="1"/>
  <c r="W35" i="1"/>
  <c r="Y35" i="1"/>
  <c r="Z35" i="1"/>
  <c r="AA35" i="1"/>
  <c r="AC35" i="1"/>
  <c r="AE35" i="1"/>
  <c r="AF35" i="1"/>
  <c r="AG35" i="1"/>
  <c r="AK35" i="1"/>
  <c r="AS35" i="1"/>
  <c r="AT35" i="1"/>
  <c r="B36" i="1"/>
  <c r="C36" i="1"/>
  <c r="D36" i="1"/>
  <c r="E36" i="1"/>
  <c r="F36" i="1"/>
  <c r="H36" i="1"/>
  <c r="I36" i="1"/>
  <c r="J36" i="1"/>
  <c r="K36" i="1"/>
  <c r="L36" i="1"/>
  <c r="M36" i="1"/>
  <c r="N36" i="1"/>
  <c r="O36" i="1"/>
  <c r="W36" i="1"/>
  <c r="Y36" i="1"/>
  <c r="Z36" i="1"/>
  <c r="AA36" i="1"/>
  <c r="AC36" i="1"/>
  <c r="AE36" i="1"/>
  <c r="AF36" i="1"/>
  <c r="AG36" i="1"/>
  <c r="AK36" i="1"/>
  <c r="AS36" i="1"/>
  <c r="AT36" i="1"/>
  <c r="B37" i="1"/>
  <c r="C37" i="1"/>
  <c r="D37" i="1"/>
  <c r="E37" i="1"/>
  <c r="F37" i="1"/>
  <c r="H37" i="1"/>
  <c r="I37" i="1"/>
  <c r="J37" i="1"/>
  <c r="K37" i="1"/>
  <c r="L37" i="1"/>
  <c r="M37" i="1"/>
  <c r="N37" i="1"/>
  <c r="O37" i="1"/>
  <c r="W37" i="1"/>
  <c r="Y37" i="1"/>
  <c r="Z37" i="1"/>
  <c r="AA37" i="1"/>
  <c r="AC37" i="1"/>
  <c r="AE37" i="1"/>
  <c r="AF37" i="1"/>
  <c r="AG37" i="1"/>
  <c r="AK37" i="1"/>
  <c r="AS37" i="1"/>
  <c r="AT37" i="1"/>
  <c r="B38" i="1"/>
  <c r="C38" i="1"/>
  <c r="D38" i="1"/>
  <c r="E38" i="1"/>
  <c r="F38" i="1"/>
  <c r="H38" i="1"/>
  <c r="I38" i="1"/>
  <c r="J38" i="1"/>
  <c r="K38" i="1"/>
  <c r="L38" i="1"/>
  <c r="M38" i="1"/>
  <c r="N38" i="1"/>
  <c r="O38" i="1"/>
  <c r="W38" i="1"/>
  <c r="Y38" i="1"/>
  <c r="Z38" i="1"/>
  <c r="AA38" i="1"/>
  <c r="AC38" i="1"/>
  <c r="AE38" i="1"/>
  <c r="AF38" i="1"/>
  <c r="AG38" i="1"/>
  <c r="AK38" i="1"/>
  <c r="AS38" i="1"/>
  <c r="AT38" i="1"/>
  <c r="B39" i="1"/>
  <c r="C39" i="1"/>
  <c r="D39" i="1"/>
  <c r="E39" i="1"/>
  <c r="F39" i="1"/>
  <c r="H39" i="1"/>
  <c r="I39" i="1"/>
  <c r="J39" i="1"/>
  <c r="K39" i="1"/>
  <c r="L39" i="1"/>
  <c r="M39" i="1"/>
  <c r="N39" i="1"/>
  <c r="O39" i="1"/>
  <c r="W39" i="1"/>
  <c r="Y39" i="1"/>
  <c r="Z39" i="1"/>
  <c r="AA39" i="1"/>
  <c r="AC39" i="1"/>
  <c r="AE39" i="1"/>
  <c r="AF39" i="1"/>
  <c r="AG39" i="1"/>
  <c r="AK39" i="1"/>
  <c r="AS39" i="1"/>
  <c r="AT39" i="1"/>
  <c r="B40" i="1"/>
  <c r="C40" i="1"/>
  <c r="D40" i="1"/>
  <c r="E40" i="1"/>
  <c r="F40" i="1"/>
  <c r="H40" i="1"/>
  <c r="I40" i="1"/>
  <c r="J40" i="1"/>
  <c r="K40" i="1"/>
  <c r="L40" i="1"/>
  <c r="M40" i="1"/>
  <c r="N40" i="1"/>
  <c r="O40" i="1"/>
  <c r="W40" i="1"/>
  <c r="Y40" i="1"/>
  <c r="Z40" i="1"/>
  <c r="AA40" i="1"/>
  <c r="AC40" i="1"/>
  <c r="AE40" i="1"/>
  <c r="AF40" i="1"/>
  <c r="AG40" i="1"/>
  <c r="AK40" i="1"/>
  <c r="AS40" i="1"/>
  <c r="AT40" i="1"/>
  <c r="B41" i="1"/>
  <c r="C41" i="1"/>
  <c r="D41" i="1"/>
  <c r="E41" i="1"/>
  <c r="F41" i="1"/>
  <c r="G41" i="1"/>
  <c r="H41" i="1"/>
  <c r="I41" i="1"/>
  <c r="J41" i="1"/>
  <c r="K41" i="1"/>
  <c r="L41" i="1"/>
  <c r="M41" i="1"/>
  <c r="N41" i="1"/>
  <c r="O41" i="1"/>
  <c r="W41" i="1"/>
  <c r="Y41" i="1"/>
  <c r="Z41" i="1"/>
  <c r="AA41" i="1"/>
  <c r="AC41" i="1"/>
  <c r="AE41" i="1"/>
  <c r="AF41" i="1"/>
  <c r="AG41" i="1"/>
  <c r="AK41" i="1"/>
  <c r="AS41" i="1"/>
  <c r="AT41" i="1"/>
  <c r="B42" i="1"/>
  <c r="C42" i="1"/>
  <c r="D42" i="1"/>
  <c r="E42" i="1"/>
  <c r="F42" i="1"/>
  <c r="H42" i="1"/>
  <c r="I42" i="1"/>
  <c r="J42" i="1"/>
  <c r="K42" i="1"/>
  <c r="L42" i="1"/>
  <c r="M42" i="1"/>
  <c r="N42" i="1"/>
  <c r="O42" i="1"/>
  <c r="W42" i="1"/>
  <c r="Y42" i="1"/>
  <c r="Z42" i="1"/>
  <c r="AA42" i="1"/>
  <c r="AC42" i="1"/>
  <c r="AE42" i="1"/>
  <c r="AF42" i="1"/>
  <c r="AG42" i="1"/>
  <c r="AK42" i="1"/>
  <c r="AS42" i="1"/>
  <c r="AT42" i="1"/>
  <c r="B43" i="1"/>
  <c r="C43" i="1"/>
  <c r="D43" i="1"/>
  <c r="E43" i="1"/>
  <c r="F43" i="1"/>
  <c r="H43" i="1"/>
  <c r="I43" i="1"/>
  <c r="J43" i="1"/>
  <c r="K43" i="1"/>
  <c r="L43" i="1"/>
  <c r="M43" i="1"/>
  <c r="N43" i="1"/>
  <c r="O43" i="1"/>
  <c r="W43" i="1"/>
  <c r="Y43" i="1"/>
  <c r="Z43" i="1"/>
  <c r="AA43" i="1"/>
  <c r="AC43" i="1"/>
  <c r="AE43" i="1"/>
  <c r="AF43" i="1"/>
  <c r="AG43" i="1"/>
  <c r="AK43" i="1"/>
  <c r="AS43" i="1"/>
  <c r="AT43" i="1"/>
  <c r="B44" i="1"/>
  <c r="C44" i="1"/>
  <c r="D44" i="1"/>
  <c r="E44" i="1"/>
  <c r="F44" i="1"/>
  <c r="H44" i="1"/>
  <c r="I44" i="1"/>
  <c r="J44" i="1"/>
  <c r="K44" i="1"/>
  <c r="L44" i="1"/>
  <c r="M44" i="1"/>
  <c r="N44" i="1"/>
  <c r="O44" i="1"/>
  <c r="W44" i="1"/>
  <c r="Y44" i="1"/>
  <c r="Z44" i="1"/>
  <c r="AA44" i="1"/>
  <c r="AC44" i="1"/>
  <c r="AE44" i="1"/>
  <c r="AF44" i="1"/>
  <c r="AG44" i="1"/>
  <c r="AK44" i="1"/>
  <c r="AS44" i="1"/>
  <c r="AT44" i="1"/>
  <c r="B45" i="1"/>
  <c r="C45" i="1"/>
  <c r="D45" i="1"/>
  <c r="E45" i="1"/>
  <c r="F45" i="1"/>
  <c r="H45" i="1"/>
  <c r="I45" i="1"/>
  <c r="J45" i="1"/>
  <c r="K45" i="1"/>
  <c r="L45" i="1"/>
  <c r="M45" i="1"/>
  <c r="N45" i="1"/>
  <c r="O45" i="1"/>
  <c r="W45" i="1"/>
  <c r="Y45" i="1"/>
  <c r="Z45" i="1"/>
  <c r="AA45" i="1"/>
  <c r="AC45" i="1"/>
  <c r="AE45" i="1"/>
  <c r="AF45" i="1"/>
  <c r="AG45" i="1"/>
  <c r="AK45" i="1"/>
  <c r="AS45" i="1"/>
  <c r="AT45" i="1"/>
  <c r="B46" i="1"/>
  <c r="C46" i="1"/>
  <c r="D46" i="1"/>
  <c r="E46" i="1"/>
  <c r="F46" i="1"/>
  <c r="H46" i="1"/>
  <c r="I46" i="1"/>
  <c r="J46" i="1"/>
  <c r="K46" i="1"/>
  <c r="L46" i="1"/>
  <c r="M46" i="1"/>
  <c r="N46" i="1"/>
  <c r="O46" i="1"/>
  <c r="W46" i="1"/>
  <c r="Y46" i="1"/>
  <c r="Z46" i="1"/>
  <c r="AA46" i="1"/>
  <c r="AC46" i="1"/>
  <c r="AE46" i="1"/>
  <c r="AF46" i="1"/>
  <c r="AG46" i="1"/>
  <c r="AK46" i="1"/>
  <c r="AS46" i="1"/>
  <c r="AT46" i="1"/>
  <c r="B47" i="1"/>
  <c r="C47" i="1"/>
  <c r="D47" i="1"/>
  <c r="E47" i="1"/>
  <c r="F47" i="1"/>
  <c r="H47" i="1"/>
  <c r="I47" i="1"/>
  <c r="J47" i="1"/>
  <c r="K47" i="1"/>
  <c r="L47" i="1"/>
  <c r="M47" i="1"/>
  <c r="N47" i="1"/>
  <c r="O47" i="1"/>
  <c r="W47" i="1"/>
  <c r="Y47" i="1"/>
  <c r="Z47" i="1"/>
  <c r="AA47" i="1"/>
  <c r="AC47" i="1"/>
  <c r="AE47" i="1"/>
  <c r="AF47" i="1"/>
  <c r="AG47" i="1"/>
  <c r="AK47" i="1"/>
  <c r="AS47" i="1"/>
  <c r="AT47" i="1"/>
  <c r="B48" i="1"/>
  <c r="C48" i="1"/>
  <c r="D48" i="1"/>
  <c r="E48" i="1"/>
  <c r="F48" i="1"/>
  <c r="H48" i="1"/>
  <c r="I48" i="1"/>
  <c r="J48" i="1"/>
  <c r="K48" i="1"/>
  <c r="L48" i="1"/>
  <c r="M48" i="1"/>
  <c r="N48" i="1"/>
  <c r="O48" i="1"/>
  <c r="W48" i="1"/>
  <c r="Y48" i="1"/>
  <c r="Z48" i="1"/>
  <c r="AA48" i="1"/>
  <c r="AC48" i="1"/>
  <c r="AE48" i="1"/>
  <c r="AF48" i="1"/>
  <c r="AG48" i="1"/>
  <c r="AK48" i="1"/>
  <c r="AS48" i="1"/>
  <c r="AT48" i="1"/>
  <c r="B49" i="1"/>
  <c r="C49" i="1"/>
  <c r="D49" i="1"/>
  <c r="E49" i="1"/>
  <c r="F49" i="1"/>
  <c r="H49" i="1"/>
  <c r="I49" i="1"/>
  <c r="J49" i="1"/>
  <c r="K49" i="1"/>
  <c r="L49" i="1"/>
  <c r="M49" i="1"/>
  <c r="N49" i="1"/>
  <c r="O49" i="1"/>
  <c r="W49" i="1"/>
  <c r="Y49" i="1"/>
  <c r="Z49" i="1"/>
  <c r="AA49" i="1"/>
  <c r="AC49" i="1"/>
  <c r="AE49" i="1"/>
  <c r="AF49" i="1"/>
  <c r="AG49" i="1"/>
  <c r="AK49" i="1"/>
  <c r="AS49" i="1"/>
  <c r="AT49" i="1"/>
  <c r="B50" i="1"/>
  <c r="C50" i="1"/>
  <c r="D50" i="1"/>
  <c r="E50" i="1"/>
  <c r="F50" i="1"/>
  <c r="H50" i="1"/>
  <c r="I50" i="1"/>
  <c r="J50" i="1"/>
  <c r="K50" i="1"/>
  <c r="L50" i="1"/>
  <c r="M50" i="1"/>
  <c r="N50" i="1"/>
  <c r="O50" i="1"/>
  <c r="W50" i="1"/>
  <c r="Y50" i="1"/>
  <c r="Z50" i="1"/>
  <c r="AA50" i="1"/>
  <c r="AC50" i="1"/>
  <c r="AE50" i="1"/>
  <c r="AF50" i="1"/>
  <c r="AG50" i="1"/>
  <c r="AK50" i="1"/>
  <c r="AS50" i="1"/>
  <c r="AT50" i="1"/>
  <c r="B51" i="1"/>
  <c r="C51" i="1"/>
  <c r="D51" i="1"/>
  <c r="E51" i="1"/>
  <c r="F51" i="1"/>
  <c r="G51" i="1"/>
  <c r="H51" i="1"/>
  <c r="I51" i="1"/>
  <c r="J51" i="1"/>
  <c r="K51" i="1"/>
  <c r="L51" i="1"/>
  <c r="M51" i="1"/>
  <c r="N51" i="1"/>
  <c r="O51" i="1"/>
  <c r="W51" i="1"/>
  <c r="Y51" i="1"/>
  <c r="Z51" i="1"/>
  <c r="AA51" i="1"/>
  <c r="AC51" i="1"/>
  <c r="AE51" i="1"/>
  <c r="AF51" i="1"/>
  <c r="AG51" i="1"/>
  <c r="AK51" i="1"/>
  <c r="AS51" i="1"/>
  <c r="AT51" i="1"/>
  <c r="B52" i="1"/>
  <c r="C52" i="1"/>
  <c r="D52" i="1"/>
  <c r="E52" i="1"/>
  <c r="F52" i="1"/>
  <c r="H52" i="1"/>
  <c r="I52" i="1"/>
  <c r="J52" i="1"/>
  <c r="K52" i="1"/>
  <c r="L52" i="1"/>
  <c r="M52" i="1"/>
  <c r="N52" i="1"/>
  <c r="O52" i="1"/>
  <c r="S52" i="1"/>
  <c r="U52" i="1"/>
  <c r="W52" i="1"/>
  <c r="Y52" i="1"/>
  <c r="Z52" i="1"/>
  <c r="AA52" i="1"/>
  <c r="AC52" i="1"/>
  <c r="AE52" i="1"/>
  <c r="AF52" i="1"/>
  <c r="AG52" i="1"/>
  <c r="AK52" i="1"/>
  <c r="AS52" i="1"/>
  <c r="AT52" i="1"/>
  <c r="B53" i="1"/>
  <c r="C53" i="1"/>
  <c r="D53" i="1"/>
  <c r="E53" i="1"/>
  <c r="F53" i="1"/>
  <c r="H53" i="1"/>
  <c r="I53" i="1"/>
  <c r="J53" i="1"/>
  <c r="K53" i="1"/>
  <c r="L53" i="1"/>
  <c r="M53" i="1"/>
  <c r="N53" i="1"/>
  <c r="O53" i="1"/>
  <c r="W53" i="1"/>
  <c r="Y53" i="1"/>
  <c r="Z53" i="1"/>
  <c r="AA53" i="1"/>
  <c r="AC53" i="1"/>
  <c r="AE53" i="1"/>
  <c r="AF53" i="1"/>
  <c r="AG53" i="1"/>
  <c r="AK53" i="1"/>
  <c r="AS53" i="1"/>
  <c r="AT53" i="1"/>
  <c r="B54" i="1"/>
  <c r="C54" i="1"/>
  <c r="D54" i="1"/>
  <c r="E54" i="1"/>
  <c r="F54" i="1"/>
  <c r="H54" i="1"/>
  <c r="I54" i="1"/>
  <c r="J54" i="1"/>
  <c r="K54" i="1"/>
  <c r="L54" i="1"/>
  <c r="M54" i="1"/>
  <c r="N54" i="1"/>
  <c r="O54" i="1"/>
  <c r="W54" i="1"/>
  <c r="Y54" i="1"/>
  <c r="Z54" i="1"/>
  <c r="AA54" i="1"/>
  <c r="AC54" i="1"/>
  <c r="AE54" i="1"/>
  <c r="AF54" i="1"/>
  <c r="AG54" i="1"/>
  <c r="AK54" i="1"/>
  <c r="AS54" i="1"/>
  <c r="AT54" i="1"/>
  <c r="B55" i="1"/>
  <c r="C55" i="1"/>
  <c r="D55" i="1"/>
  <c r="E55" i="1"/>
  <c r="F55" i="1"/>
  <c r="H55" i="1"/>
  <c r="I55" i="1"/>
  <c r="J55" i="1"/>
  <c r="K55" i="1"/>
  <c r="L55" i="1"/>
  <c r="M55" i="1"/>
  <c r="N55" i="1"/>
  <c r="O55" i="1"/>
  <c r="W55" i="1"/>
  <c r="Y55" i="1"/>
  <c r="Z55" i="1"/>
  <c r="AA55" i="1"/>
  <c r="AC55" i="1"/>
  <c r="AE55" i="1"/>
  <c r="AF55" i="1"/>
  <c r="AG55" i="1"/>
  <c r="AK55" i="1"/>
  <c r="AS55" i="1"/>
  <c r="AT55" i="1"/>
  <c r="B56" i="1"/>
  <c r="C56" i="1"/>
  <c r="D56" i="1"/>
  <c r="E56" i="1"/>
  <c r="F56" i="1"/>
  <c r="G56" i="1"/>
  <c r="H56" i="1"/>
  <c r="I56" i="1"/>
  <c r="J56" i="1"/>
  <c r="K56" i="1"/>
  <c r="L56" i="1"/>
  <c r="M56" i="1"/>
  <c r="N56" i="1"/>
  <c r="O56" i="1"/>
  <c r="W56" i="1"/>
  <c r="Y56" i="1"/>
  <c r="Z56" i="1"/>
  <c r="AA56" i="1"/>
  <c r="AC56" i="1"/>
  <c r="AE56" i="1"/>
  <c r="AF56" i="1"/>
  <c r="AG56" i="1"/>
  <c r="AK56" i="1"/>
  <c r="AS56" i="1"/>
  <c r="AT56" i="1"/>
  <c r="B57" i="1"/>
  <c r="C57" i="1"/>
  <c r="D57" i="1"/>
  <c r="E57" i="1"/>
  <c r="F57" i="1"/>
  <c r="G57" i="1"/>
  <c r="H57" i="1"/>
  <c r="I57" i="1"/>
  <c r="J57" i="1"/>
  <c r="K57" i="1"/>
  <c r="L57" i="1"/>
  <c r="M57" i="1"/>
  <c r="N57" i="1"/>
  <c r="O57" i="1"/>
  <c r="Q57" i="1"/>
  <c r="W57" i="1"/>
  <c r="Y57" i="1"/>
  <c r="Z57" i="1"/>
  <c r="AA57" i="1"/>
  <c r="AC57" i="1"/>
  <c r="AE57" i="1"/>
  <c r="AF57" i="1"/>
  <c r="AG57" i="1"/>
  <c r="AK57" i="1"/>
  <c r="AS57" i="1"/>
  <c r="AT57" i="1"/>
  <c r="B58" i="1"/>
  <c r="C58" i="1"/>
  <c r="D58" i="1"/>
  <c r="E58" i="1"/>
  <c r="F58" i="1"/>
  <c r="H58" i="1"/>
  <c r="I58" i="1"/>
  <c r="J58" i="1"/>
  <c r="K58" i="1"/>
  <c r="L58" i="1"/>
  <c r="M58" i="1"/>
  <c r="N58" i="1"/>
  <c r="O58" i="1"/>
  <c r="W58" i="1"/>
  <c r="Y58" i="1"/>
  <c r="Z58" i="1"/>
  <c r="AA58" i="1"/>
  <c r="AC58" i="1"/>
  <c r="AE58" i="1"/>
  <c r="AF58" i="1"/>
  <c r="AG58" i="1"/>
  <c r="AK58" i="1"/>
  <c r="AS58" i="1"/>
  <c r="AT58" i="1"/>
  <c r="B59" i="1"/>
  <c r="C59" i="1"/>
  <c r="D59" i="1"/>
  <c r="E59" i="1"/>
  <c r="F59" i="1"/>
  <c r="G59" i="1"/>
  <c r="H59" i="1"/>
  <c r="I59" i="1"/>
  <c r="J59" i="1"/>
  <c r="K59" i="1"/>
  <c r="L59" i="1"/>
  <c r="M59" i="1"/>
  <c r="N59" i="1"/>
  <c r="O59" i="1"/>
  <c r="W59" i="1"/>
  <c r="Y59" i="1"/>
  <c r="Z59" i="1"/>
  <c r="AA59" i="1"/>
  <c r="AC59" i="1"/>
  <c r="AE59" i="1"/>
  <c r="AF59" i="1"/>
  <c r="AG59" i="1"/>
  <c r="AK59" i="1"/>
  <c r="AS59" i="1"/>
  <c r="AT59" i="1"/>
  <c r="B60" i="1"/>
  <c r="C60" i="1"/>
  <c r="D60" i="1"/>
  <c r="E60" i="1"/>
  <c r="F60" i="1"/>
  <c r="H60" i="1"/>
  <c r="I60" i="1"/>
  <c r="J60" i="1"/>
  <c r="K60" i="1"/>
  <c r="L60" i="1"/>
  <c r="M60" i="1"/>
  <c r="N60" i="1"/>
  <c r="O60" i="1"/>
  <c r="W60" i="1"/>
  <c r="Y60" i="1"/>
  <c r="Z60" i="1"/>
  <c r="AA60" i="1"/>
  <c r="AC60" i="1"/>
  <c r="AE60" i="1"/>
  <c r="AF60" i="1"/>
  <c r="AG60" i="1"/>
  <c r="AK60" i="1"/>
  <c r="AS60" i="1"/>
  <c r="AT60" i="1"/>
  <c r="B61" i="1"/>
  <c r="C61" i="1"/>
  <c r="D61" i="1"/>
  <c r="E61" i="1"/>
  <c r="F61" i="1"/>
  <c r="G61" i="1"/>
  <c r="H61" i="1"/>
  <c r="I61" i="1"/>
  <c r="J61" i="1"/>
  <c r="K61" i="1"/>
  <c r="L61" i="1"/>
  <c r="M61" i="1"/>
  <c r="N61" i="1"/>
  <c r="O61" i="1"/>
  <c r="W61" i="1"/>
  <c r="Y61" i="1"/>
  <c r="Z61" i="1"/>
  <c r="AA61" i="1"/>
  <c r="AC61" i="1"/>
  <c r="AE61" i="1"/>
  <c r="AF61" i="1"/>
  <c r="AG61" i="1"/>
  <c r="AK61" i="1"/>
  <c r="AS61" i="1"/>
  <c r="AT61" i="1"/>
  <c r="B62" i="1"/>
  <c r="C62" i="1"/>
  <c r="D62" i="1"/>
  <c r="E62" i="1"/>
  <c r="F62" i="1"/>
  <c r="G62" i="1"/>
  <c r="H62" i="1"/>
  <c r="I62" i="1"/>
  <c r="J62" i="1"/>
  <c r="K62" i="1"/>
  <c r="L62" i="1"/>
  <c r="M62" i="1"/>
  <c r="N62" i="1"/>
  <c r="O62" i="1"/>
  <c r="W62" i="1"/>
  <c r="Y62" i="1"/>
  <c r="Z62" i="1"/>
  <c r="AA62" i="1"/>
  <c r="AC62" i="1"/>
  <c r="AE62" i="1"/>
  <c r="AF62" i="1"/>
  <c r="AG62" i="1"/>
  <c r="AK62" i="1"/>
  <c r="AS62" i="1"/>
  <c r="AT62" i="1"/>
  <c r="B63" i="1"/>
  <c r="C63" i="1"/>
  <c r="D63" i="1"/>
  <c r="E63" i="1"/>
  <c r="F63" i="1"/>
  <c r="G63" i="1"/>
  <c r="H63" i="1"/>
  <c r="I63" i="1"/>
  <c r="J63" i="1"/>
  <c r="K63" i="1"/>
  <c r="L63" i="1"/>
  <c r="M63" i="1"/>
  <c r="N63" i="1"/>
  <c r="O63" i="1"/>
  <c r="W63" i="1"/>
  <c r="Y63" i="1"/>
  <c r="Z63" i="1"/>
  <c r="AA63" i="1"/>
  <c r="AC63" i="1"/>
  <c r="AE63" i="1"/>
  <c r="AF63" i="1"/>
  <c r="AG63" i="1"/>
  <c r="AK63" i="1"/>
  <c r="AS63" i="1"/>
  <c r="AT63" i="1"/>
  <c r="B64" i="1"/>
  <c r="C64" i="1"/>
  <c r="D64" i="1"/>
  <c r="E64" i="1"/>
  <c r="F64" i="1"/>
  <c r="G64" i="1"/>
  <c r="H64" i="1"/>
  <c r="I64" i="1"/>
  <c r="J64" i="1"/>
  <c r="K64" i="1"/>
  <c r="L64" i="1"/>
  <c r="M64" i="1"/>
  <c r="N64" i="1"/>
  <c r="O64" i="1"/>
  <c r="W64" i="1"/>
  <c r="Y64" i="1"/>
  <c r="Z64" i="1"/>
  <c r="AA64" i="1"/>
  <c r="AC64" i="1"/>
  <c r="AE64" i="1"/>
  <c r="AF64" i="1"/>
  <c r="AG64" i="1"/>
  <c r="AK64" i="1"/>
  <c r="AS64" i="1"/>
  <c r="AT64" i="1"/>
  <c r="B65" i="1"/>
  <c r="C65" i="1"/>
  <c r="D65" i="1"/>
  <c r="E65" i="1"/>
  <c r="F65" i="1"/>
  <c r="H65" i="1"/>
  <c r="I65" i="1"/>
  <c r="J65" i="1"/>
  <c r="K65" i="1"/>
  <c r="L65" i="1"/>
  <c r="M65" i="1"/>
  <c r="N65" i="1"/>
  <c r="O65" i="1"/>
  <c r="W65" i="1"/>
  <c r="Y65" i="1"/>
  <c r="Z65" i="1"/>
  <c r="AA65" i="1"/>
  <c r="AC65" i="1"/>
  <c r="AE65" i="1"/>
  <c r="AF65" i="1"/>
  <c r="AG65" i="1"/>
  <c r="AK65" i="1"/>
  <c r="AS65" i="1"/>
  <c r="AT65" i="1"/>
  <c r="B66" i="1"/>
  <c r="C66" i="1"/>
  <c r="D66" i="1"/>
  <c r="E66" i="1"/>
  <c r="F66" i="1"/>
  <c r="H66" i="1"/>
  <c r="I66" i="1"/>
  <c r="J66" i="1"/>
  <c r="K66" i="1"/>
  <c r="L66" i="1"/>
  <c r="M66" i="1"/>
  <c r="N66" i="1"/>
  <c r="O66" i="1"/>
  <c r="W66" i="1"/>
  <c r="Y66" i="1"/>
  <c r="Z66" i="1"/>
  <c r="AA66" i="1"/>
  <c r="AC66" i="1"/>
  <c r="AE66" i="1"/>
  <c r="AF66" i="1"/>
  <c r="AG66" i="1"/>
  <c r="AK66" i="1"/>
  <c r="AS66" i="1"/>
  <c r="AT66" i="1"/>
  <c r="B67" i="1"/>
  <c r="C67" i="1"/>
  <c r="D67" i="1"/>
  <c r="E67" i="1"/>
  <c r="F67" i="1"/>
  <c r="G67" i="1"/>
  <c r="H67" i="1"/>
  <c r="I67" i="1"/>
  <c r="J67" i="1"/>
  <c r="K67" i="1"/>
  <c r="L67" i="1"/>
  <c r="M67" i="1"/>
  <c r="N67" i="1"/>
  <c r="O67" i="1"/>
  <c r="W67" i="1"/>
  <c r="Y67" i="1"/>
  <c r="Z67" i="1"/>
  <c r="AA67" i="1"/>
  <c r="AC67" i="1"/>
  <c r="AE67" i="1"/>
  <c r="AF67" i="1"/>
  <c r="AG67" i="1"/>
  <c r="AK67" i="1"/>
  <c r="AS67" i="1"/>
  <c r="AT67" i="1"/>
  <c r="B68" i="1"/>
  <c r="C68" i="1"/>
  <c r="D68" i="1"/>
  <c r="E68" i="1"/>
  <c r="F68" i="1"/>
  <c r="H68" i="1"/>
  <c r="I68" i="1"/>
  <c r="J68" i="1"/>
  <c r="K68" i="1"/>
  <c r="L68" i="1"/>
  <c r="M68" i="1"/>
  <c r="N68" i="1"/>
  <c r="O68" i="1"/>
  <c r="W68" i="1"/>
  <c r="Y68" i="1"/>
  <c r="Z68" i="1"/>
  <c r="AA68" i="1"/>
  <c r="AC68" i="1"/>
  <c r="AE68" i="1"/>
  <c r="AF68" i="1"/>
  <c r="AG68" i="1"/>
  <c r="AK68" i="1"/>
  <c r="AS68" i="1"/>
  <c r="AT68" i="1"/>
  <c r="B69" i="1"/>
  <c r="C69" i="1"/>
  <c r="D69" i="1"/>
  <c r="E69" i="1"/>
  <c r="F69" i="1"/>
  <c r="G69" i="1"/>
  <c r="H69" i="1"/>
  <c r="I69" i="1"/>
  <c r="J69" i="1"/>
  <c r="K69" i="1"/>
  <c r="L69" i="1"/>
  <c r="M69" i="1"/>
  <c r="N69" i="1"/>
  <c r="O69" i="1"/>
  <c r="W69" i="1"/>
  <c r="Y69" i="1"/>
  <c r="Z69" i="1"/>
  <c r="AA69" i="1"/>
  <c r="AC69" i="1"/>
  <c r="AE69" i="1"/>
  <c r="AF69" i="1"/>
  <c r="AG69" i="1"/>
  <c r="AK69" i="1"/>
  <c r="AS69" i="1"/>
  <c r="AT69" i="1"/>
  <c r="B70" i="1"/>
  <c r="C70" i="1"/>
  <c r="D70" i="1"/>
  <c r="E70" i="1"/>
  <c r="F70" i="1"/>
  <c r="H70" i="1"/>
  <c r="I70" i="1"/>
  <c r="J70" i="1"/>
  <c r="K70" i="1"/>
  <c r="L70" i="1"/>
  <c r="M70" i="1"/>
  <c r="N70" i="1"/>
  <c r="O70" i="1"/>
  <c r="W70" i="1"/>
  <c r="Y70" i="1"/>
  <c r="Z70" i="1"/>
  <c r="AA70" i="1"/>
  <c r="AC70" i="1"/>
  <c r="AE70" i="1"/>
  <c r="AF70" i="1"/>
  <c r="AG70" i="1"/>
  <c r="AK70" i="1"/>
  <c r="AS70" i="1"/>
  <c r="AT70" i="1"/>
  <c r="B71" i="1"/>
  <c r="C71" i="1"/>
  <c r="D71" i="1"/>
  <c r="E71" i="1"/>
  <c r="F71" i="1"/>
  <c r="H71" i="1"/>
  <c r="I71" i="1"/>
  <c r="J71" i="1"/>
  <c r="K71" i="1"/>
  <c r="L71" i="1"/>
  <c r="M71" i="1"/>
  <c r="N71" i="1"/>
  <c r="O71" i="1"/>
  <c r="W71" i="1"/>
  <c r="Y71" i="1"/>
  <c r="Z71" i="1"/>
  <c r="AA71" i="1"/>
  <c r="AC71" i="1"/>
  <c r="AE71" i="1"/>
  <c r="AF71" i="1"/>
  <c r="AG71" i="1"/>
  <c r="AK71" i="1"/>
  <c r="AS71" i="1"/>
  <c r="AT71" i="1"/>
  <c r="B72" i="1"/>
  <c r="C72" i="1"/>
  <c r="D72" i="1"/>
  <c r="E72" i="1"/>
  <c r="F72" i="1"/>
  <c r="H72" i="1"/>
  <c r="I72" i="1"/>
  <c r="J72" i="1"/>
  <c r="K72" i="1"/>
  <c r="L72" i="1"/>
  <c r="M72" i="1"/>
  <c r="N72" i="1"/>
  <c r="O72" i="1"/>
  <c r="W72" i="1"/>
  <c r="Y72" i="1"/>
  <c r="Z72" i="1"/>
  <c r="AA72" i="1"/>
  <c r="AC72" i="1"/>
  <c r="AE72" i="1"/>
  <c r="AF72" i="1"/>
  <c r="AG72" i="1"/>
  <c r="AK72" i="1"/>
  <c r="AS72" i="1"/>
  <c r="AT72" i="1"/>
  <c r="B73" i="1"/>
  <c r="C73" i="1"/>
  <c r="D73" i="1"/>
  <c r="E73" i="1"/>
  <c r="F73" i="1"/>
  <c r="H73" i="1"/>
  <c r="I73" i="1"/>
  <c r="J73" i="1"/>
  <c r="K73" i="1"/>
  <c r="L73" i="1"/>
  <c r="M73" i="1"/>
  <c r="N73" i="1"/>
  <c r="O73" i="1"/>
  <c r="W73" i="1"/>
  <c r="Y73" i="1"/>
  <c r="Z73" i="1"/>
  <c r="AA73" i="1"/>
  <c r="AC73" i="1"/>
  <c r="AE73" i="1"/>
  <c r="AF73" i="1"/>
  <c r="AG73" i="1"/>
  <c r="AK73" i="1"/>
  <c r="AS73" i="1"/>
  <c r="AT73" i="1"/>
  <c r="B74" i="1"/>
  <c r="C74" i="1"/>
  <c r="D74" i="1"/>
  <c r="E74" i="1"/>
  <c r="F74" i="1"/>
  <c r="H74" i="1"/>
  <c r="I74" i="1"/>
  <c r="J74" i="1"/>
  <c r="K74" i="1"/>
  <c r="L74" i="1"/>
  <c r="M74" i="1"/>
  <c r="N74" i="1"/>
  <c r="O74" i="1"/>
  <c r="W74" i="1"/>
  <c r="Y74" i="1"/>
  <c r="Z74" i="1"/>
  <c r="AA74" i="1"/>
  <c r="AC74" i="1"/>
  <c r="AE74" i="1"/>
  <c r="AF74" i="1"/>
  <c r="AG74" i="1"/>
  <c r="AK74" i="1"/>
  <c r="AS74" i="1"/>
  <c r="AT74" i="1"/>
  <c r="B75" i="1"/>
  <c r="C75" i="1"/>
  <c r="D75" i="1"/>
  <c r="E75" i="1"/>
  <c r="F75" i="1"/>
  <c r="H75" i="1"/>
  <c r="I75" i="1"/>
  <c r="J75" i="1"/>
  <c r="K75" i="1"/>
  <c r="L75" i="1"/>
  <c r="M75" i="1"/>
  <c r="N75" i="1"/>
  <c r="O75" i="1"/>
  <c r="W75" i="1"/>
  <c r="Y75" i="1"/>
  <c r="Z75" i="1"/>
  <c r="AA75" i="1"/>
  <c r="AC75" i="1"/>
  <c r="AE75" i="1"/>
  <c r="AF75" i="1"/>
  <c r="AG75" i="1"/>
  <c r="AK75" i="1"/>
  <c r="AS75" i="1"/>
  <c r="AT75" i="1"/>
  <c r="B76" i="1"/>
  <c r="C76" i="1"/>
  <c r="D76" i="1"/>
  <c r="E76" i="1"/>
  <c r="F76" i="1"/>
  <c r="H76" i="1"/>
  <c r="I76" i="1"/>
  <c r="J76" i="1"/>
  <c r="K76" i="1"/>
  <c r="L76" i="1"/>
  <c r="M76" i="1"/>
  <c r="N76" i="1"/>
  <c r="O76" i="1"/>
  <c r="W76" i="1"/>
  <c r="Y76" i="1"/>
  <c r="Z76" i="1"/>
  <c r="AA76" i="1"/>
  <c r="AC76" i="1"/>
  <c r="AE76" i="1"/>
  <c r="AF76" i="1"/>
  <c r="AG76" i="1"/>
  <c r="AK76" i="1"/>
  <c r="AS76" i="1"/>
  <c r="AT76" i="1"/>
  <c r="B77" i="1"/>
  <c r="C77" i="1"/>
  <c r="D77" i="1"/>
  <c r="E77" i="1"/>
  <c r="F77" i="1"/>
  <c r="H77" i="1"/>
  <c r="I77" i="1"/>
  <c r="J77" i="1"/>
  <c r="K77" i="1"/>
  <c r="L77" i="1"/>
  <c r="M77" i="1"/>
  <c r="N77" i="1"/>
  <c r="O77" i="1"/>
  <c r="S77" i="1"/>
  <c r="U77" i="1"/>
  <c r="W77" i="1"/>
  <c r="Y77" i="1"/>
  <c r="Z77" i="1"/>
  <c r="AA77" i="1"/>
  <c r="AC77" i="1"/>
  <c r="AE77" i="1"/>
  <c r="AF77" i="1"/>
  <c r="AG77" i="1"/>
  <c r="AK77" i="1"/>
  <c r="AS77" i="1"/>
  <c r="AT77" i="1"/>
  <c r="B78" i="1"/>
  <c r="C78" i="1"/>
  <c r="D78" i="1"/>
  <c r="E78" i="1"/>
  <c r="F78" i="1"/>
  <c r="G78" i="1"/>
  <c r="H78" i="1"/>
  <c r="I78" i="1"/>
  <c r="J78" i="1"/>
  <c r="K78" i="1"/>
  <c r="L78" i="1"/>
  <c r="M78" i="1"/>
  <c r="N78" i="1"/>
  <c r="O78" i="1"/>
  <c r="W78" i="1"/>
  <c r="Y78" i="1"/>
  <c r="Z78" i="1"/>
  <c r="AA78" i="1"/>
  <c r="AC78" i="1"/>
  <c r="AE78" i="1"/>
  <c r="AF78" i="1"/>
  <c r="AG78" i="1"/>
  <c r="AK78" i="1"/>
  <c r="AS78" i="1"/>
  <c r="AT78" i="1"/>
  <c r="B79" i="1"/>
  <c r="C79" i="1"/>
  <c r="D79" i="1"/>
  <c r="E79" i="1"/>
  <c r="F79" i="1"/>
  <c r="H79" i="1"/>
  <c r="I79" i="1"/>
  <c r="J79" i="1"/>
  <c r="K79" i="1"/>
  <c r="L79" i="1"/>
  <c r="M79" i="1"/>
  <c r="N79" i="1"/>
  <c r="O79" i="1"/>
  <c r="W79" i="1"/>
  <c r="Y79" i="1"/>
  <c r="Z79" i="1"/>
  <c r="AA79" i="1"/>
  <c r="AC79" i="1"/>
  <c r="AE79" i="1"/>
  <c r="AF79" i="1"/>
  <c r="AG79" i="1"/>
  <c r="AK79" i="1"/>
  <c r="AS79" i="1"/>
  <c r="AT79" i="1"/>
  <c r="B80" i="1"/>
  <c r="C80" i="1"/>
  <c r="D80" i="1"/>
  <c r="E80" i="1"/>
  <c r="F80" i="1"/>
  <c r="H80" i="1"/>
  <c r="I80" i="1"/>
  <c r="J80" i="1"/>
  <c r="K80" i="1"/>
  <c r="L80" i="1"/>
  <c r="M80" i="1"/>
  <c r="N80" i="1"/>
  <c r="O80" i="1"/>
  <c r="W80" i="1"/>
  <c r="Y80" i="1"/>
  <c r="Z80" i="1"/>
  <c r="AA80" i="1"/>
  <c r="AC80" i="1"/>
  <c r="AE80" i="1"/>
  <c r="AF80" i="1"/>
  <c r="AG80" i="1"/>
  <c r="AK80" i="1"/>
  <c r="AS80" i="1"/>
  <c r="AT80" i="1"/>
  <c r="B81" i="1"/>
  <c r="C81" i="1"/>
  <c r="D81" i="1"/>
  <c r="E81" i="1"/>
  <c r="F81" i="1"/>
  <c r="H81" i="1"/>
  <c r="I81" i="1"/>
  <c r="J81" i="1"/>
  <c r="K81" i="1"/>
  <c r="L81" i="1"/>
  <c r="M81" i="1"/>
  <c r="N81" i="1"/>
  <c r="O81" i="1"/>
  <c r="S81" i="1"/>
  <c r="T81" i="1"/>
  <c r="U81" i="1"/>
  <c r="W81" i="1"/>
  <c r="Y81" i="1"/>
  <c r="Z81" i="1"/>
  <c r="AA81" i="1"/>
  <c r="AC81" i="1"/>
  <c r="AE81" i="1"/>
  <c r="AF81" i="1"/>
  <c r="AG81" i="1"/>
  <c r="AK81" i="1"/>
  <c r="AS81" i="1"/>
  <c r="AT81" i="1"/>
  <c r="B82" i="1"/>
  <c r="C82" i="1"/>
  <c r="D82" i="1"/>
  <c r="E82" i="1"/>
  <c r="F82" i="1"/>
  <c r="H82" i="1"/>
  <c r="I82" i="1"/>
  <c r="J82" i="1"/>
  <c r="K82" i="1"/>
  <c r="L82" i="1"/>
  <c r="M82" i="1"/>
  <c r="N82" i="1"/>
  <c r="O82" i="1"/>
  <c r="W82" i="1"/>
  <c r="Y82" i="1"/>
  <c r="Z82" i="1"/>
  <c r="AA82" i="1"/>
  <c r="AC82" i="1"/>
  <c r="AE82" i="1"/>
  <c r="AF82" i="1"/>
  <c r="AG82" i="1"/>
  <c r="AK82" i="1"/>
  <c r="AS82" i="1"/>
  <c r="AT82" i="1"/>
  <c r="B83" i="1"/>
  <c r="C83" i="1"/>
  <c r="D83" i="1"/>
  <c r="E83" i="1"/>
  <c r="F83" i="1"/>
  <c r="H83" i="1"/>
  <c r="I83" i="1"/>
  <c r="J83" i="1"/>
  <c r="K83" i="1"/>
  <c r="L83" i="1"/>
  <c r="M83" i="1"/>
  <c r="N83" i="1"/>
  <c r="O83" i="1"/>
  <c r="W83" i="1"/>
  <c r="Y83" i="1"/>
  <c r="Z83" i="1"/>
  <c r="AA83" i="1"/>
  <c r="AC83" i="1"/>
  <c r="AE83" i="1"/>
  <c r="AF83" i="1"/>
  <c r="AG83" i="1"/>
  <c r="AK83" i="1"/>
  <c r="AS83" i="1"/>
  <c r="AT83" i="1"/>
  <c r="B84" i="1"/>
  <c r="C84" i="1"/>
  <c r="D84" i="1"/>
  <c r="E84" i="1"/>
  <c r="F84" i="1"/>
  <c r="G84" i="1"/>
  <c r="H84" i="1"/>
  <c r="I84" i="1"/>
  <c r="J84" i="1"/>
  <c r="K84" i="1"/>
  <c r="L84" i="1"/>
  <c r="M84" i="1"/>
  <c r="N84" i="1"/>
  <c r="O84" i="1"/>
  <c r="W84" i="1"/>
  <c r="Y84" i="1"/>
  <c r="Z84" i="1"/>
  <c r="AA84" i="1"/>
  <c r="AC84" i="1"/>
  <c r="AE84" i="1"/>
  <c r="AF84" i="1"/>
  <c r="AG84" i="1"/>
  <c r="AK84" i="1"/>
  <c r="AS84" i="1"/>
  <c r="AT84" i="1"/>
  <c r="B85" i="1"/>
  <c r="C85" i="1"/>
  <c r="D85" i="1"/>
  <c r="E85" i="1"/>
  <c r="F85" i="1"/>
  <c r="H85" i="1"/>
  <c r="I85" i="1"/>
  <c r="J85" i="1"/>
  <c r="K85" i="1"/>
  <c r="L85" i="1"/>
  <c r="M85" i="1"/>
  <c r="N85" i="1"/>
  <c r="O85" i="1"/>
  <c r="W85" i="1"/>
  <c r="Y85" i="1"/>
  <c r="Z85" i="1"/>
  <c r="AA85" i="1"/>
  <c r="AC85" i="1"/>
  <c r="AE85" i="1"/>
  <c r="AF85" i="1"/>
  <c r="AG85" i="1"/>
  <c r="AK85" i="1"/>
  <c r="AS85" i="1"/>
  <c r="AT85" i="1"/>
  <c r="B86" i="1"/>
  <c r="C86" i="1"/>
  <c r="D86" i="1"/>
  <c r="E86" i="1"/>
  <c r="F86" i="1"/>
  <c r="G86" i="1"/>
  <c r="H86" i="1"/>
  <c r="I86" i="1"/>
  <c r="J86" i="1"/>
  <c r="K86" i="1"/>
  <c r="L86" i="1"/>
  <c r="M86" i="1"/>
  <c r="N86" i="1"/>
  <c r="O86" i="1"/>
  <c r="W86" i="1"/>
  <c r="Y86" i="1"/>
  <c r="Z86" i="1"/>
  <c r="AA86" i="1"/>
  <c r="AC86" i="1"/>
  <c r="AE86" i="1"/>
  <c r="AF86" i="1"/>
  <c r="AG86" i="1"/>
  <c r="AK86" i="1"/>
  <c r="AS86" i="1"/>
  <c r="AT86" i="1"/>
  <c r="B87" i="1"/>
  <c r="C87" i="1"/>
  <c r="D87" i="1"/>
  <c r="E87" i="1"/>
  <c r="F87" i="1"/>
  <c r="G87" i="1"/>
  <c r="H87" i="1"/>
  <c r="I87" i="1"/>
  <c r="J87" i="1"/>
  <c r="K87" i="1"/>
  <c r="L87" i="1"/>
  <c r="M87" i="1"/>
  <c r="N87" i="1"/>
  <c r="O87" i="1"/>
  <c r="W87" i="1"/>
  <c r="Y87" i="1"/>
  <c r="Z87" i="1"/>
  <c r="AA87" i="1"/>
  <c r="AC87" i="1"/>
  <c r="AE87" i="1"/>
  <c r="AF87" i="1"/>
  <c r="AG87" i="1"/>
  <c r="AK87" i="1"/>
  <c r="AS87" i="1"/>
  <c r="AT87" i="1"/>
  <c r="B88" i="1"/>
  <c r="C88" i="1"/>
  <c r="D88" i="1"/>
  <c r="E88" i="1"/>
  <c r="F88" i="1"/>
  <c r="G88" i="1"/>
  <c r="H88" i="1"/>
  <c r="I88" i="1"/>
  <c r="J88" i="1"/>
  <c r="K88" i="1"/>
  <c r="L88" i="1"/>
  <c r="M88" i="1"/>
  <c r="N88" i="1"/>
  <c r="O88" i="1"/>
  <c r="W88" i="1"/>
  <c r="Y88" i="1"/>
  <c r="Z88" i="1"/>
  <c r="AA88" i="1"/>
  <c r="AC88" i="1"/>
  <c r="AE88" i="1"/>
  <c r="AF88" i="1"/>
  <c r="AG88" i="1"/>
  <c r="AK88" i="1"/>
  <c r="AS88" i="1"/>
  <c r="AT88" i="1"/>
  <c r="B89" i="1"/>
  <c r="C89" i="1"/>
  <c r="D89" i="1"/>
  <c r="E89" i="1"/>
  <c r="F89" i="1"/>
  <c r="H89" i="1"/>
  <c r="I89" i="1"/>
  <c r="J89" i="1"/>
  <c r="K89" i="1"/>
  <c r="L89" i="1"/>
  <c r="M89" i="1"/>
  <c r="N89" i="1"/>
  <c r="O89" i="1"/>
  <c r="W89" i="1"/>
  <c r="Y89" i="1"/>
  <c r="Z89" i="1"/>
  <c r="AA89" i="1"/>
  <c r="AC89" i="1"/>
  <c r="AE89" i="1"/>
  <c r="AF89" i="1"/>
  <c r="AG89" i="1"/>
  <c r="AK89" i="1"/>
  <c r="AS89" i="1"/>
  <c r="AT89" i="1"/>
  <c r="B90" i="1"/>
  <c r="C90" i="1"/>
  <c r="D90" i="1"/>
  <c r="E90" i="1"/>
  <c r="F90" i="1"/>
  <c r="H90" i="1"/>
  <c r="I90" i="1"/>
  <c r="J90" i="1"/>
  <c r="K90" i="1"/>
  <c r="L90" i="1"/>
  <c r="M90" i="1"/>
  <c r="N90" i="1"/>
  <c r="O90" i="1"/>
  <c r="W90" i="1"/>
  <c r="Y90" i="1"/>
  <c r="Z90" i="1"/>
  <c r="AA90" i="1"/>
  <c r="AC90" i="1"/>
  <c r="AE90" i="1"/>
  <c r="AF90" i="1"/>
  <c r="AG90" i="1"/>
  <c r="AK90" i="1"/>
  <c r="AT90" i="1"/>
  <c r="B91" i="1"/>
  <c r="C91" i="1"/>
  <c r="D91" i="1"/>
  <c r="E91" i="1"/>
  <c r="F91" i="1"/>
  <c r="H91" i="1"/>
  <c r="I91" i="1"/>
  <c r="J91" i="1"/>
  <c r="K91" i="1"/>
  <c r="L91" i="1"/>
  <c r="M91" i="1"/>
  <c r="N91" i="1"/>
  <c r="O91" i="1"/>
  <c r="W91" i="1"/>
  <c r="Y91" i="1"/>
  <c r="Z91" i="1"/>
  <c r="AA91" i="1"/>
  <c r="AC91" i="1"/>
  <c r="AE91" i="1"/>
  <c r="AF91" i="1"/>
  <c r="AG91" i="1"/>
  <c r="AK91" i="1"/>
  <c r="AS91" i="1"/>
  <c r="AT91" i="1"/>
  <c r="B92" i="1"/>
  <c r="C92" i="1"/>
  <c r="D92" i="1"/>
  <c r="E92" i="1"/>
  <c r="F92" i="1"/>
  <c r="H92" i="1"/>
  <c r="I92" i="1"/>
  <c r="J92" i="1"/>
  <c r="K92" i="1"/>
  <c r="L92" i="1"/>
  <c r="M92" i="1"/>
  <c r="N92" i="1"/>
  <c r="O92" i="1"/>
  <c r="W92" i="1"/>
  <c r="Y92" i="1"/>
  <c r="Z92" i="1"/>
  <c r="AA92" i="1"/>
  <c r="AC92" i="1"/>
  <c r="AE92" i="1"/>
  <c r="AF92" i="1"/>
  <c r="AG92" i="1"/>
  <c r="AK92" i="1"/>
  <c r="AS92" i="1"/>
  <c r="AT92" i="1"/>
  <c r="B93" i="1"/>
  <c r="C93" i="1"/>
  <c r="D93" i="1"/>
  <c r="E93" i="1"/>
  <c r="F93" i="1"/>
  <c r="H93" i="1"/>
  <c r="I93" i="1"/>
  <c r="J93" i="1"/>
  <c r="K93" i="1"/>
  <c r="L93" i="1"/>
  <c r="M93" i="1"/>
  <c r="N93" i="1"/>
  <c r="O93" i="1"/>
  <c r="W93" i="1"/>
  <c r="Y93" i="1"/>
  <c r="Z93" i="1"/>
  <c r="AA93" i="1"/>
  <c r="AC93" i="1"/>
  <c r="AE93" i="1"/>
  <c r="AF93" i="1"/>
  <c r="AG93" i="1"/>
  <c r="AK93" i="1"/>
  <c r="AS93" i="1"/>
  <c r="AT93" i="1"/>
  <c r="B94" i="1"/>
  <c r="C94" i="1"/>
  <c r="D94" i="1"/>
  <c r="E94" i="1"/>
  <c r="F94" i="1"/>
  <c r="H94" i="1"/>
  <c r="I94" i="1"/>
  <c r="J94" i="1"/>
  <c r="K94" i="1"/>
  <c r="L94" i="1"/>
  <c r="M94" i="1"/>
  <c r="N94" i="1"/>
  <c r="O94" i="1"/>
  <c r="W94" i="1"/>
  <c r="Y94" i="1"/>
  <c r="Z94" i="1"/>
  <c r="AA94" i="1"/>
  <c r="AC94" i="1"/>
  <c r="AE94" i="1"/>
  <c r="AF94" i="1"/>
  <c r="AG94" i="1"/>
  <c r="AK94" i="1"/>
  <c r="AS94" i="1"/>
  <c r="AT94" i="1"/>
  <c r="B95" i="1"/>
  <c r="C95" i="1"/>
  <c r="D95" i="1"/>
  <c r="E95" i="1"/>
  <c r="F95" i="1"/>
  <c r="H95" i="1"/>
  <c r="I95" i="1"/>
  <c r="J95" i="1"/>
  <c r="K95" i="1"/>
  <c r="L95" i="1"/>
  <c r="M95" i="1"/>
  <c r="N95" i="1"/>
  <c r="O95" i="1"/>
  <c r="W95" i="1"/>
  <c r="Y95" i="1"/>
  <c r="Z95" i="1"/>
  <c r="AA95" i="1"/>
  <c r="AC95" i="1"/>
  <c r="AE95" i="1"/>
  <c r="AF95" i="1"/>
  <c r="AG95" i="1"/>
  <c r="AK95" i="1"/>
  <c r="AS95" i="1"/>
  <c r="AT95" i="1"/>
  <c r="B96" i="1"/>
  <c r="C96" i="1"/>
  <c r="D96" i="1"/>
  <c r="E96" i="1"/>
  <c r="F96" i="1"/>
  <c r="G96" i="1"/>
  <c r="H96" i="1"/>
  <c r="I96" i="1"/>
  <c r="J96" i="1"/>
  <c r="K96" i="1"/>
  <c r="L96" i="1"/>
  <c r="M96" i="1"/>
  <c r="N96" i="1"/>
  <c r="O96" i="1"/>
  <c r="W96" i="1"/>
  <c r="Y96" i="1"/>
  <c r="Z96" i="1"/>
  <c r="AA96" i="1"/>
  <c r="AC96" i="1"/>
  <c r="AE96" i="1"/>
  <c r="AF96" i="1"/>
  <c r="AG96" i="1"/>
  <c r="AK96" i="1"/>
  <c r="AS96" i="1"/>
  <c r="AT96" i="1"/>
  <c r="B97" i="1"/>
  <c r="C97" i="1"/>
  <c r="D97" i="1"/>
  <c r="E97" i="1"/>
  <c r="F97" i="1"/>
  <c r="G97" i="1"/>
  <c r="H97" i="1"/>
  <c r="I97" i="1"/>
  <c r="J97" i="1"/>
  <c r="K97" i="1"/>
  <c r="L97" i="1"/>
  <c r="M97" i="1"/>
  <c r="N97" i="1"/>
  <c r="O97" i="1"/>
  <c r="W97" i="1"/>
  <c r="Y97" i="1"/>
  <c r="Z97" i="1"/>
  <c r="AA97" i="1"/>
  <c r="AC97" i="1"/>
  <c r="AE97" i="1"/>
  <c r="AF97" i="1"/>
  <c r="AG97" i="1"/>
  <c r="AK97" i="1"/>
  <c r="AS97" i="1"/>
  <c r="AT97" i="1"/>
  <c r="B98" i="1"/>
  <c r="C98" i="1"/>
  <c r="D98" i="1"/>
  <c r="E98" i="1"/>
  <c r="F98" i="1"/>
  <c r="H98" i="1"/>
  <c r="I98" i="1"/>
  <c r="J98" i="1"/>
  <c r="K98" i="1"/>
  <c r="L98" i="1"/>
  <c r="M98" i="1"/>
  <c r="N98" i="1"/>
  <c r="O98" i="1"/>
  <c r="W98" i="1"/>
  <c r="Y98" i="1"/>
  <c r="Z98" i="1"/>
  <c r="AA98" i="1"/>
  <c r="AC98" i="1"/>
  <c r="AE98" i="1"/>
  <c r="AF98" i="1"/>
  <c r="AG98" i="1"/>
  <c r="AK98" i="1"/>
  <c r="AS98" i="1"/>
  <c r="AT98" i="1"/>
  <c r="B99" i="1"/>
  <c r="C99" i="1"/>
  <c r="D99" i="1"/>
  <c r="E99" i="1"/>
  <c r="F99" i="1"/>
  <c r="H99" i="1"/>
  <c r="I99" i="1"/>
  <c r="J99" i="1"/>
  <c r="K99" i="1"/>
  <c r="L99" i="1"/>
  <c r="M99" i="1"/>
  <c r="N99" i="1"/>
  <c r="O99" i="1"/>
  <c r="W99" i="1"/>
  <c r="Y99" i="1"/>
  <c r="Z99" i="1"/>
  <c r="AA99" i="1"/>
  <c r="AC99" i="1"/>
  <c r="AE99" i="1"/>
  <c r="AF99" i="1"/>
  <c r="AG99" i="1"/>
  <c r="AK99" i="1"/>
  <c r="AS99" i="1"/>
  <c r="AT99" i="1"/>
  <c r="B100" i="1"/>
  <c r="C100" i="1"/>
  <c r="D100" i="1"/>
  <c r="E100" i="1"/>
  <c r="F100" i="1"/>
  <c r="G100" i="1"/>
  <c r="H100" i="1"/>
  <c r="I100" i="1"/>
  <c r="J100" i="1"/>
  <c r="K100" i="1"/>
  <c r="L100" i="1"/>
  <c r="M100" i="1"/>
  <c r="N100" i="1"/>
  <c r="O100" i="1"/>
  <c r="W100" i="1"/>
  <c r="Y100" i="1"/>
  <c r="Z100" i="1"/>
  <c r="AA100" i="1"/>
  <c r="AC100" i="1"/>
  <c r="AE100" i="1"/>
  <c r="AF100" i="1"/>
  <c r="AG100" i="1"/>
  <c r="AK100" i="1"/>
  <c r="AS100" i="1"/>
  <c r="AT100" i="1"/>
  <c r="B101" i="1"/>
  <c r="C101" i="1"/>
  <c r="D101" i="1"/>
  <c r="E101" i="1"/>
  <c r="F101" i="1"/>
  <c r="H101" i="1"/>
  <c r="I101" i="1"/>
  <c r="J101" i="1"/>
  <c r="K101" i="1"/>
  <c r="L101" i="1"/>
  <c r="M101" i="1"/>
  <c r="N101" i="1"/>
  <c r="O101" i="1"/>
  <c r="W101" i="1"/>
  <c r="Y101" i="1"/>
  <c r="Z101" i="1"/>
  <c r="AA101" i="1"/>
  <c r="AC101" i="1"/>
  <c r="AE101" i="1"/>
  <c r="AF101" i="1"/>
  <c r="AG101" i="1"/>
  <c r="AK101" i="1"/>
  <c r="AS101" i="1"/>
  <c r="AT101" i="1"/>
  <c r="B102" i="1"/>
  <c r="C102" i="1"/>
  <c r="D102" i="1"/>
  <c r="E102" i="1"/>
  <c r="F102" i="1"/>
  <c r="H102" i="1"/>
  <c r="I102" i="1"/>
  <c r="J102" i="1"/>
  <c r="K102" i="1"/>
  <c r="L102" i="1"/>
  <c r="M102" i="1"/>
  <c r="N102" i="1"/>
  <c r="O102" i="1"/>
  <c r="W102" i="1"/>
  <c r="Y102" i="1"/>
  <c r="Z102" i="1"/>
  <c r="AA102" i="1"/>
  <c r="AC102" i="1"/>
  <c r="AE102" i="1"/>
  <c r="AF102" i="1"/>
  <c r="AG102" i="1"/>
  <c r="AK102" i="1"/>
  <c r="AS102" i="1"/>
  <c r="AT102" i="1"/>
  <c r="B103" i="1"/>
  <c r="C103" i="1"/>
  <c r="D103" i="1"/>
  <c r="E103" i="1"/>
  <c r="F103" i="1"/>
  <c r="G103" i="1"/>
  <c r="H103" i="1"/>
  <c r="I103" i="1"/>
  <c r="J103" i="1"/>
  <c r="K103" i="1"/>
  <c r="L103" i="1"/>
  <c r="M103" i="1"/>
  <c r="N103" i="1"/>
  <c r="O103" i="1"/>
  <c r="W103" i="1"/>
  <c r="Y103" i="1"/>
  <c r="Z103" i="1"/>
  <c r="AA103" i="1"/>
  <c r="AC103" i="1"/>
  <c r="AE103" i="1"/>
  <c r="AF103" i="1"/>
  <c r="AG103" i="1"/>
  <c r="AK103" i="1"/>
  <c r="AS103" i="1"/>
  <c r="AT103" i="1"/>
  <c r="B104" i="1"/>
  <c r="C104" i="1"/>
  <c r="D104" i="1"/>
  <c r="E104" i="1"/>
  <c r="F104" i="1"/>
  <c r="H104" i="1"/>
  <c r="I104" i="1"/>
  <c r="J104" i="1"/>
  <c r="K104" i="1"/>
  <c r="L104" i="1"/>
  <c r="M104" i="1"/>
  <c r="N104" i="1"/>
  <c r="O104" i="1"/>
  <c r="S104" i="1"/>
  <c r="T104" i="1"/>
  <c r="U104" i="1"/>
  <c r="W104" i="1"/>
  <c r="Y104" i="1"/>
  <c r="Z104" i="1"/>
  <c r="AA104" i="1"/>
  <c r="AC104" i="1"/>
  <c r="AE104" i="1"/>
  <c r="AF104" i="1"/>
  <c r="AG104" i="1"/>
  <c r="AK104" i="1"/>
  <c r="AS104" i="1"/>
  <c r="AT104" i="1"/>
  <c r="B105" i="1"/>
  <c r="C105" i="1"/>
  <c r="D105" i="1"/>
  <c r="E105" i="1"/>
  <c r="F105" i="1"/>
  <c r="H105" i="1"/>
  <c r="I105" i="1"/>
  <c r="J105" i="1"/>
  <c r="K105" i="1"/>
  <c r="L105" i="1"/>
  <c r="M105" i="1"/>
  <c r="N105" i="1"/>
  <c r="O105" i="1"/>
  <c r="W105" i="1"/>
  <c r="Y105" i="1"/>
  <c r="Z105" i="1"/>
  <c r="AA105" i="1"/>
  <c r="AC105" i="1"/>
  <c r="AE105" i="1"/>
  <c r="AF105" i="1"/>
  <c r="AG105" i="1"/>
  <c r="AK105" i="1"/>
  <c r="AS105" i="1"/>
  <c r="AT105" i="1"/>
  <c r="B106" i="1"/>
  <c r="C106" i="1"/>
  <c r="D106" i="1"/>
  <c r="E106" i="1"/>
  <c r="F106" i="1"/>
  <c r="H106" i="1"/>
  <c r="I106" i="1"/>
  <c r="K106" i="1"/>
  <c r="L106" i="1"/>
  <c r="M106" i="1"/>
  <c r="N106" i="1"/>
  <c r="O106" i="1"/>
  <c r="W106" i="1"/>
  <c r="Y106" i="1"/>
  <c r="Z106" i="1"/>
  <c r="AA106" i="1"/>
  <c r="AC106" i="1"/>
  <c r="AE106" i="1"/>
  <c r="AF106" i="1"/>
  <c r="AG106" i="1"/>
  <c r="AK106" i="1"/>
  <c r="AS106" i="1"/>
  <c r="AT106" i="1"/>
  <c r="B107" i="1"/>
  <c r="C107" i="1"/>
  <c r="D107" i="1"/>
  <c r="E107" i="1"/>
  <c r="F107" i="1"/>
  <c r="H107" i="1"/>
  <c r="I107" i="1"/>
  <c r="J107" i="1"/>
  <c r="K107" i="1"/>
  <c r="L107" i="1"/>
  <c r="M107" i="1"/>
  <c r="N107" i="1"/>
  <c r="O107" i="1"/>
  <c r="W107" i="1"/>
  <c r="Y107" i="1"/>
  <c r="Z107" i="1"/>
  <c r="AA107" i="1"/>
  <c r="AC107" i="1"/>
  <c r="AE107" i="1"/>
  <c r="AF107" i="1"/>
  <c r="AG107" i="1"/>
  <c r="AK107" i="1"/>
  <c r="AS107" i="1"/>
  <c r="AT107" i="1"/>
  <c r="B108" i="1"/>
  <c r="C108" i="1"/>
  <c r="D108" i="1"/>
  <c r="E108" i="1"/>
  <c r="F108" i="1"/>
  <c r="H108" i="1"/>
  <c r="I108" i="1"/>
  <c r="J108" i="1"/>
  <c r="K108" i="1"/>
  <c r="L108" i="1"/>
  <c r="M108" i="1"/>
  <c r="N108" i="1"/>
  <c r="O108" i="1"/>
  <c r="S108" i="1"/>
  <c r="T108" i="1"/>
  <c r="U108" i="1"/>
  <c r="W108" i="1"/>
  <c r="Y108" i="1"/>
  <c r="Z108" i="1"/>
  <c r="AA108" i="1"/>
  <c r="AC108" i="1"/>
  <c r="AE108" i="1"/>
  <c r="AF108" i="1"/>
  <c r="AG108" i="1"/>
  <c r="AK108" i="1"/>
  <c r="AS108" i="1"/>
  <c r="AT108" i="1"/>
  <c r="B109" i="1"/>
  <c r="C109" i="1"/>
  <c r="D109" i="1"/>
  <c r="E109" i="1"/>
  <c r="F109" i="1"/>
  <c r="H109" i="1"/>
  <c r="I109" i="1"/>
  <c r="J109" i="1"/>
  <c r="K109" i="1"/>
  <c r="L109" i="1"/>
  <c r="M109" i="1"/>
  <c r="N109" i="1"/>
  <c r="O109" i="1"/>
  <c r="W109" i="1"/>
  <c r="Y109" i="1"/>
  <c r="Z109" i="1"/>
  <c r="AA109" i="1"/>
  <c r="AC109" i="1"/>
  <c r="AE109" i="1"/>
  <c r="AF109" i="1"/>
  <c r="AG109" i="1"/>
  <c r="AK109" i="1"/>
  <c r="AS109" i="1"/>
  <c r="AT109" i="1"/>
  <c r="B110" i="1"/>
  <c r="C110" i="1"/>
  <c r="D110" i="1"/>
  <c r="E110" i="1"/>
  <c r="F110" i="1"/>
  <c r="H110" i="1"/>
  <c r="I110" i="1"/>
  <c r="J110" i="1"/>
  <c r="K110" i="1"/>
  <c r="L110" i="1"/>
  <c r="M110" i="1"/>
  <c r="N110" i="1"/>
  <c r="O110" i="1"/>
  <c r="W110" i="1"/>
  <c r="Y110" i="1"/>
  <c r="Z110" i="1"/>
  <c r="AA110" i="1"/>
  <c r="AC110" i="1"/>
  <c r="AE110" i="1"/>
  <c r="AF110" i="1"/>
  <c r="AG110" i="1"/>
  <c r="AK110" i="1"/>
  <c r="AS110" i="1"/>
  <c r="AT110" i="1"/>
  <c r="B111" i="1"/>
  <c r="C111" i="1"/>
  <c r="D111" i="1"/>
  <c r="E111" i="1"/>
  <c r="F111" i="1"/>
  <c r="G111" i="1"/>
  <c r="H111" i="1"/>
  <c r="I111" i="1"/>
  <c r="J111" i="1"/>
  <c r="K111" i="1"/>
  <c r="L111" i="1"/>
  <c r="M111" i="1"/>
  <c r="N111" i="1"/>
  <c r="O111" i="1"/>
  <c r="W111" i="1"/>
  <c r="Y111" i="1"/>
  <c r="Z111" i="1"/>
  <c r="AA111" i="1"/>
  <c r="AC111" i="1"/>
  <c r="AE111" i="1"/>
  <c r="AF111" i="1"/>
  <c r="AG111" i="1"/>
  <c r="AK111" i="1"/>
  <c r="AS111" i="1"/>
  <c r="AT111" i="1"/>
  <c r="B112" i="1"/>
  <c r="C112" i="1"/>
  <c r="D112" i="1"/>
  <c r="E112" i="1"/>
  <c r="F112" i="1"/>
  <c r="H112" i="1"/>
  <c r="I112" i="1"/>
  <c r="J112" i="1"/>
  <c r="K112" i="1"/>
  <c r="L112" i="1"/>
  <c r="M112" i="1"/>
  <c r="N112" i="1"/>
  <c r="O112" i="1"/>
  <c r="W112" i="1"/>
  <c r="Y112" i="1"/>
  <c r="Z112" i="1"/>
  <c r="AA112" i="1"/>
  <c r="AC112" i="1"/>
  <c r="AE112" i="1"/>
  <c r="AF112" i="1"/>
  <c r="AG112" i="1"/>
  <c r="AK112" i="1"/>
  <c r="AS112" i="1"/>
  <c r="AT112" i="1"/>
  <c r="B113" i="1"/>
  <c r="C113" i="1"/>
  <c r="D113" i="1"/>
  <c r="E113" i="1"/>
  <c r="F113" i="1"/>
  <c r="H113" i="1"/>
  <c r="I113" i="1"/>
  <c r="J113" i="1"/>
  <c r="K113" i="1"/>
  <c r="L113" i="1"/>
  <c r="M113" i="1"/>
  <c r="N113" i="1"/>
  <c r="O113" i="1"/>
  <c r="W113" i="1"/>
  <c r="Y113" i="1"/>
  <c r="Z113" i="1"/>
  <c r="AA113" i="1"/>
  <c r="AC113" i="1"/>
  <c r="AE113" i="1"/>
  <c r="AF113" i="1"/>
  <c r="AG113" i="1"/>
  <c r="AK113" i="1"/>
  <c r="AS113" i="1"/>
  <c r="AT113" i="1"/>
  <c r="B114" i="1"/>
  <c r="C114" i="1"/>
  <c r="D114" i="1"/>
  <c r="E114" i="1"/>
  <c r="F114" i="1"/>
  <c r="G114" i="1"/>
  <c r="H114" i="1"/>
  <c r="I114" i="1"/>
  <c r="J114" i="1"/>
  <c r="K114" i="1"/>
  <c r="L114" i="1"/>
  <c r="M114" i="1"/>
  <c r="N114" i="1"/>
  <c r="O114" i="1"/>
  <c r="W114" i="1"/>
  <c r="Y114" i="1"/>
  <c r="Z114" i="1"/>
  <c r="AA114" i="1"/>
  <c r="AC114" i="1"/>
  <c r="AE114" i="1"/>
  <c r="AF114" i="1"/>
  <c r="AG114" i="1"/>
  <c r="AK114" i="1"/>
  <c r="AS114" i="1"/>
  <c r="AT114" i="1"/>
  <c r="B115" i="1"/>
  <c r="C115" i="1"/>
  <c r="D115" i="1"/>
  <c r="E115" i="1"/>
  <c r="F115" i="1"/>
  <c r="G115" i="1"/>
  <c r="H115" i="1"/>
  <c r="I115" i="1"/>
  <c r="J115" i="1"/>
  <c r="K115" i="1"/>
  <c r="L115" i="1"/>
  <c r="M115" i="1"/>
  <c r="N115" i="1"/>
  <c r="O115" i="1"/>
  <c r="W115" i="1"/>
  <c r="Y115" i="1"/>
  <c r="Z115" i="1"/>
  <c r="AA115" i="1"/>
  <c r="AC115" i="1"/>
  <c r="AE115" i="1"/>
  <c r="AF115" i="1"/>
  <c r="AG115" i="1"/>
  <c r="AK115" i="1"/>
  <c r="AS115" i="1"/>
  <c r="AT115" i="1"/>
  <c r="B116" i="1"/>
  <c r="C116" i="1"/>
  <c r="D116" i="1"/>
  <c r="E116" i="1"/>
  <c r="F116" i="1"/>
  <c r="H116" i="1"/>
  <c r="I116" i="1"/>
  <c r="J116" i="1"/>
  <c r="K116" i="1"/>
  <c r="L116" i="1"/>
  <c r="M116" i="1"/>
  <c r="N116" i="1"/>
  <c r="O116" i="1"/>
  <c r="W116" i="1"/>
  <c r="Y116" i="1"/>
  <c r="Z116" i="1"/>
  <c r="AA116" i="1"/>
  <c r="AC116" i="1"/>
  <c r="AE116" i="1"/>
  <c r="AF116" i="1"/>
  <c r="AG116" i="1"/>
  <c r="AK116" i="1"/>
  <c r="AS116" i="1"/>
  <c r="AT116" i="1"/>
  <c r="B117" i="1"/>
  <c r="C117" i="1"/>
  <c r="D117" i="1"/>
  <c r="E117" i="1"/>
  <c r="F117" i="1"/>
  <c r="H117" i="1"/>
  <c r="I117" i="1"/>
  <c r="J117" i="1"/>
  <c r="K117" i="1"/>
  <c r="L117" i="1"/>
  <c r="M117" i="1"/>
  <c r="N117" i="1"/>
  <c r="O117" i="1"/>
  <c r="W117" i="1"/>
  <c r="Y117" i="1"/>
  <c r="Z117" i="1"/>
  <c r="AA117" i="1"/>
  <c r="AC117" i="1"/>
  <c r="AE117" i="1"/>
  <c r="AF117" i="1"/>
  <c r="AG117" i="1"/>
  <c r="AK117" i="1"/>
  <c r="AS117" i="1"/>
  <c r="AT117" i="1"/>
  <c r="B118" i="1"/>
  <c r="C118" i="1"/>
  <c r="D118" i="1"/>
  <c r="E118" i="1"/>
  <c r="F118" i="1"/>
  <c r="H118" i="1"/>
  <c r="I118" i="1"/>
  <c r="J118" i="1"/>
  <c r="K118" i="1"/>
  <c r="L118" i="1"/>
  <c r="M118" i="1"/>
  <c r="N118" i="1"/>
  <c r="O118" i="1"/>
  <c r="W118" i="1"/>
  <c r="Y118" i="1"/>
  <c r="Z118" i="1"/>
  <c r="AA118" i="1"/>
  <c r="AC118" i="1"/>
  <c r="AE118" i="1"/>
  <c r="AF118" i="1"/>
  <c r="AG118" i="1"/>
  <c r="AK118" i="1"/>
  <c r="AS118" i="1"/>
  <c r="AT118" i="1"/>
  <c r="B119" i="1"/>
  <c r="C119" i="1"/>
  <c r="D119" i="1"/>
  <c r="E119" i="1"/>
  <c r="F119" i="1"/>
  <c r="H119" i="1"/>
  <c r="I119" i="1"/>
  <c r="J119" i="1"/>
  <c r="K119" i="1"/>
  <c r="L119" i="1"/>
  <c r="M119" i="1"/>
  <c r="N119" i="1"/>
  <c r="O119" i="1"/>
  <c r="W119" i="1"/>
  <c r="Y119" i="1"/>
  <c r="Z119" i="1"/>
  <c r="AA119" i="1"/>
  <c r="AC119" i="1"/>
  <c r="AE119" i="1"/>
  <c r="AF119" i="1"/>
  <c r="AG119" i="1"/>
  <c r="AK119" i="1"/>
  <c r="AS119" i="1"/>
  <c r="AT119" i="1"/>
  <c r="B120" i="1"/>
  <c r="C120" i="1"/>
  <c r="D120" i="1"/>
  <c r="E120" i="1"/>
  <c r="F120" i="1"/>
  <c r="H120" i="1"/>
  <c r="I120" i="1"/>
  <c r="J120" i="1"/>
  <c r="K120" i="1"/>
  <c r="L120" i="1"/>
  <c r="M120" i="1"/>
  <c r="N120" i="1"/>
  <c r="O120" i="1"/>
  <c r="W120" i="1"/>
  <c r="Y120" i="1"/>
  <c r="Z120" i="1"/>
  <c r="AA120" i="1"/>
  <c r="AC120" i="1"/>
  <c r="AE120" i="1"/>
  <c r="AF120" i="1"/>
  <c r="AG120" i="1"/>
  <c r="AK120" i="1"/>
  <c r="AS120" i="1"/>
  <c r="AT120" i="1"/>
  <c r="B121" i="1"/>
  <c r="C121" i="1"/>
  <c r="D121" i="1"/>
  <c r="E121" i="1"/>
  <c r="F121" i="1"/>
  <c r="G121" i="1"/>
  <c r="H121" i="1"/>
  <c r="I121" i="1"/>
  <c r="J121" i="1"/>
  <c r="K121" i="1"/>
  <c r="L121" i="1"/>
  <c r="M121" i="1"/>
  <c r="N121" i="1"/>
  <c r="O121" i="1"/>
  <c r="W121" i="1"/>
  <c r="Y121" i="1"/>
  <c r="Z121" i="1"/>
  <c r="AA121" i="1"/>
  <c r="AC121" i="1"/>
  <c r="AE121" i="1"/>
  <c r="AF121" i="1"/>
  <c r="AG121" i="1"/>
  <c r="AK121" i="1"/>
  <c r="AS121" i="1"/>
  <c r="AT121" i="1"/>
  <c r="B122" i="1"/>
  <c r="C122" i="1"/>
  <c r="D122" i="1"/>
  <c r="E122" i="1"/>
  <c r="F122" i="1"/>
  <c r="H122" i="1"/>
  <c r="I122" i="1"/>
  <c r="J122" i="1"/>
  <c r="K122" i="1"/>
  <c r="L122" i="1"/>
  <c r="M122" i="1"/>
  <c r="N122" i="1"/>
  <c r="O122" i="1"/>
  <c r="W122" i="1"/>
  <c r="Y122" i="1"/>
  <c r="Z122" i="1"/>
  <c r="AA122" i="1"/>
  <c r="AC122" i="1"/>
  <c r="AE122" i="1"/>
  <c r="AF122" i="1"/>
  <c r="AG122" i="1"/>
  <c r="AK122" i="1"/>
  <c r="AS122" i="1"/>
  <c r="AT122" i="1"/>
  <c r="B123" i="1"/>
  <c r="C123" i="1"/>
  <c r="D123" i="1"/>
  <c r="E123" i="1"/>
  <c r="F123" i="1"/>
  <c r="H123" i="1"/>
  <c r="I123" i="1"/>
  <c r="J123" i="1"/>
  <c r="K123" i="1"/>
  <c r="L123" i="1"/>
  <c r="M123" i="1"/>
  <c r="N123" i="1"/>
  <c r="O123" i="1"/>
  <c r="W123" i="1"/>
  <c r="Y123" i="1"/>
  <c r="Z123" i="1"/>
  <c r="AA123" i="1"/>
  <c r="AC123" i="1"/>
  <c r="AE123" i="1"/>
  <c r="AF123" i="1"/>
  <c r="AG123" i="1"/>
  <c r="AK123" i="1"/>
  <c r="AS123" i="1"/>
  <c r="AT123" i="1"/>
  <c r="B124" i="1"/>
  <c r="C124" i="1"/>
  <c r="D124" i="1"/>
  <c r="E124" i="1"/>
  <c r="F124" i="1"/>
  <c r="H124" i="1"/>
  <c r="I124" i="1"/>
  <c r="J124" i="1"/>
  <c r="K124" i="1"/>
  <c r="L124" i="1"/>
  <c r="M124" i="1"/>
  <c r="N124" i="1"/>
  <c r="O124" i="1"/>
  <c r="W124" i="1"/>
  <c r="Y124" i="1"/>
  <c r="Z124" i="1"/>
  <c r="AA124" i="1"/>
  <c r="AC124" i="1"/>
  <c r="AE124" i="1"/>
  <c r="AF124" i="1"/>
  <c r="AG124" i="1"/>
  <c r="AK124" i="1"/>
  <c r="AS124" i="1"/>
  <c r="AT124" i="1"/>
  <c r="B125" i="1"/>
  <c r="C125" i="1"/>
  <c r="D125" i="1"/>
  <c r="E125" i="1"/>
  <c r="F125" i="1"/>
  <c r="G125" i="1"/>
  <c r="H125" i="1"/>
  <c r="I125" i="1"/>
  <c r="J125" i="1"/>
  <c r="K125" i="1"/>
  <c r="L125" i="1"/>
  <c r="M125" i="1"/>
  <c r="N125" i="1"/>
  <c r="O125" i="1"/>
  <c r="W125" i="1"/>
  <c r="Y125" i="1"/>
  <c r="Z125" i="1"/>
  <c r="AA125" i="1"/>
  <c r="AC125" i="1"/>
  <c r="AE125" i="1"/>
  <c r="AF125" i="1"/>
  <c r="AG125" i="1"/>
  <c r="AK125" i="1"/>
  <c r="AS125" i="1"/>
  <c r="AT125" i="1"/>
  <c r="B126" i="1"/>
  <c r="C126" i="1"/>
  <c r="D126" i="1"/>
  <c r="E126" i="1"/>
  <c r="F126" i="1"/>
  <c r="G126" i="1"/>
  <c r="H126" i="1"/>
  <c r="I126" i="1"/>
  <c r="J126" i="1"/>
  <c r="K126" i="1"/>
  <c r="L126" i="1"/>
  <c r="M126" i="1"/>
  <c r="N126" i="1"/>
  <c r="O126" i="1"/>
  <c r="S126" i="1"/>
  <c r="T126" i="1"/>
  <c r="U126" i="1"/>
  <c r="W126" i="1"/>
  <c r="Y126" i="1"/>
  <c r="Z126" i="1"/>
  <c r="AA126" i="1"/>
  <c r="AC126" i="1"/>
  <c r="AE126" i="1"/>
  <c r="AF126" i="1"/>
  <c r="AG126" i="1"/>
  <c r="AK126" i="1"/>
  <c r="AS126" i="1"/>
  <c r="AT126" i="1"/>
  <c r="B127" i="1"/>
  <c r="C127" i="1"/>
  <c r="D127" i="1"/>
  <c r="E127" i="1"/>
  <c r="F127" i="1"/>
  <c r="H127" i="1"/>
  <c r="I127" i="1"/>
  <c r="J127" i="1"/>
  <c r="K127" i="1"/>
  <c r="L127" i="1"/>
  <c r="M127" i="1"/>
  <c r="N127" i="1"/>
  <c r="O127" i="1"/>
  <c r="W127" i="1"/>
  <c r="Y127" i="1"/>
  <c r="Z127" i="1"/>
  <c r="AA127" i="1"/>
  <c r="AC127" i="1"/>
  <c r="AE127" i="1"/>
  <c r="AF127" i="1"/>
  <c r="AG127" i="1"/>
  <c r="AK127" i="1"/>
  <c r="AS127" i="1"/>
  <c r="AT127" i="1"/>
  <c r="B128" i="1"/>
  <c r="C128" i="1"/>
  <c r="D128" i="1"/>
  <c r="E128" i="1"/>
  <c r="F128" i="1"/>
  <c r="H128" i="1"/>
  <c r="I128" i="1"/>
  <c r="J128" i="1"/>
  <c r="K128" i="1"/>
  <c r="L128" i="1"/>
  <c r="M128" i="1"/>
  <c r="N128" i="1"/>
  <c r="O128" i="1"/>
  <c r="W128" i="1"/>
  <c r="Y128" i="1"/>
  <c r="Z128" i="1"/>
  <c r="AA128" i="1"/>
  <c r="AC128" i="1"/>
  <c r="AE128" i="1"/>
  <c r="AF128" i="1"/>
  <c r="AG128" i="1"/>
  <c r="AK128" i="1"/>
  <c r="AS128" i="1"/>
  <c r="AT128" i="1"/>
  <c r="B129" i="1"/>
  <c r="C129" i="1"/>
  <c r="D129" i="1"/>
  <c r="E129" i="1"/>
  <c r="F129" i="1"/>
  <c r="G129" i="1"/>
  <c r="H129" i="1"/>
  <c r="I129" i="1"/>
  <c r="J129" i="1"/>
  <c r="K129" i="1"/>
  <c r="L129" i="1"/>
  <c r="M129" i="1"/>
  <c r="N129" i="1"/>
  <c r="O129" i="1"/>
  <c r="W129" i="1"/>
  <c r="Y129" i="1"/>
  <c r="Z129" i="1"/>
  <c r="AA129" i="1"/>
  <c r="AC129" i="1"/>
  <c r="AE129" i="1"/>
  <c r="AF129" i="1"/>
  <c r="AG129" i="1"/>
  <c r="AK129" i="1"/>
  <c r="AS129" i="1"/>
  <c r="AT129" i="1"/>
  <c r="B130" i="1"/>
  <c r="C130" i="1"/>
  <c r="D130" i="1"/>
  <c r="E130" i="1"/>
  <c r="F130" i="1"/>
  <c r="H130" i="1"/>
  <c r="I130" i="1"/>
  <c r="J130" i="1"/>
  <c r="K130" i="1"/>
  <c r="L130" i="1"/>
  <c r="M130" i="1"/>
  <c r="N130" i="1"/>
  <c r="O130" i="1"/>
  <c r="W130" i="1"/>
  <c r="Y130" i="1"/>
  <c r="Z130" i="1"/>
  <c r="AA130" i="1"/>
  <c r="AC130" i="1"/>
  <c r="AE130" i="1"/>
  <c r="AF130" i="1"/>
  <c r="AG130" i="1"/>
  <c r="AK130" i="1"/>
  <c r="AS130" i="1"/>
  <c r="AT130" i="1"/>
  <c r="B131" i="1"/>
  <c r="C131" i="1"/>
  <c r="D131" i="1"/>
  <c r="E131" i="1"/>
  <c r="F131" i="1"/>
  <c r="H131" i="1"/>
  <c r="I131" i="1"/>
  <c r="J131" i="1"/>
  <c r="K131" i="1"/>
  <c r="L131" i="1"/>
  <c r="M131" i="1"/>
  <c r="N131" i="1"/>
  <c r="O131" i="1"/>
  <c r="W131" i="1"/>
  <c r="Y131" i="1"/>
  <c r="Z131" i="1"/>
  <c r="AA131" i="1"/>
  <c r="AC131" i="1"/>
  <c r="AE131" i="1"/>
  <c r="AF131" i="1"/>
  <c r="AG131" i="1"/>
  <c r="AK131" i="1"/>
  <c r="AS131" i="1"/>
  <c r="AT131" i="1"/>
  <c r="B132" i="1"/>
  <c r="C132" i="1"/>
  <c r="D132" i="1"/>
  <c r="E132" i="1"/>
  <c r="F132" i="1"/>
  <c r="H132" i="1"/>
  <c r="I132" i="1"/>
  <c r="J132" i="1"/>
  <c r="K132" i="1"/>
  <c r="L132" i="1"/>
  <c r="M132" i="1"/>
  <c r="N132" i="1"/>
  <c r="O132" i="1"/>
  <c r="W132" i="1"/>
  <c r="Y132" i="1"/>
  <c r="Z132" i="1"/>
  <c r="AA132" i="1"/>
  <c r="AC132" i="1"/>
  <c r="AE132" i="1"/>
  <c r="AF132" i="1"/>
  <c r="AG132" i="1"/>
  <c r="AK132" i="1"/>
  <c r="AS132" i="1"/>
  <c r="AT132" i="1"/>
  <c r="B133" i="1"/>
  <c r="C133" i="1"/>
  <c r="D133" i="1"/>
  <c r="E133" i="1"/>
  <c r="F133" i="1"/>
  <c r="H133" i="1"/>
  <c r="I133" i="1"/>
  <c r="J133" i="1"/>
  <c r="K133" i="1"/>
  <c r="L133" i="1"/>
  <c r="M133" i="1"/>
  <c r="N133" i="1"/>
  <c r="O133" i="1"/>
  <c r="S133" i="1"/>
  <c r="T133" i="1"/>
  <c r="U133" i="1"/>
  <c r="W133" i="1"/>
  <c r="Y133" i="1"/>
  <c r="Z133" i="1"/>
  <c r="AA133" i="1"/>
  <c r="AC133" i="1"/>
  <c r="AE133" i="1"/>
  <c r="AF133" i="1"/>
  <c r="AG133" i="1"/>
  <c r="AK133" i="1"/>
  <c r="AS133" i="1"/>
  <c r="AT133" i="1"/>
  <c r="B134" i="1"/>
  <c r="C134" i="1"/>
  <c r="D134" i="1"/>
  <c r="E134" i="1"/>
  <c r="F134" i="1"/>
  <c r="H134" i="1"/>
  <c r="I134" i="1"/>
  <c r="J134" i="1"/>
  <c r="K134" i="1"/>
  <c r="L134" i="1"/>
  <c r="M134" i="1"/>
  <c r="N134" i="1"/>
  <c r="O134" i="1"/>
  <c r="W134" i="1"/>
  <c r="Y134" i="1"/>
  <c r="Z134" i="1"/>
  <c r="AA134" i="1"/>
  <c r="AC134" i="1"/>
  <c r="AE134" i="1"/>
  <c r="AF134" i="1"/>
  <c r="AG134" i="1"/>
  <c r="AK134" i="1"/>
  <c r="AS134" i="1"/>
  <c r="AT134" i="1"/>
  <c r="B135" i="1"/>
  <c r="C135" i="1"/>
  <c r="D135" i="1"/>
  <c r="E135" i="1"/>
  <c r="F135" i="1"/>
  <c r="H135" i="1"/>
  <c r="I135" i="1"/>
  <c r="J135" i="1"/>
  <c r="K135" i="1"/>
  <c r="L135" i="1"/>
  <c r="M135" i="1"/>
  <c r="N135" i="1"/>
  <c r="O135" i="1"/>
  <c r="W135" i="1"/>
  <c r="Y135" i="1"/>
  <c r="Z135" i="1"/>
  <c r="AA135" i="1"/>
  <c r="AC135" i="1"/>
  <c r="AE135" i="1"/>
  <c r="AF135" i="1"/>
  <c r="AG135" i="1"/>
  <c r="AK135" i="1"/>
  <c r="AS135" i="1"/>
  <c r="AT135" i="1"/>
  <c r="B136" i="1"/>
  <c r="C136" i="1"/>
  <c r="D136" i="1"/>
  <c r="E136" i="1"/>
  <c r="F136" i="1"/>
  <c r="H136" i="1"/>
  <c r="I136" i="1"/>
  <c r="J136" i="1"/>
  <c r="K136" i="1"/>
  <c r="L136" i="1"/>
  <c r="M136" i="1"/>
  <c r="N136" i="1"/>
  <c r="O136" i="1"/>
  <c r="W136" i="1"/>
  <c r="Y136" i="1"/>
  <c r="Z136" i="1"/>
  <c r="AA136" i="1"/>
  <c r="AC136" i="1"/>
  <c r="AE136" i="1"/>
  <c r="AF136" i="1"/>
  <c r="AG136" i="1"/>
  <c r="AK136" i="1"/>
  <c r="AS136" i="1"/>
  <c r="AT136" i="1"/>
  <c r="B137" i="1"/>
  <c r="C137" i="1"/>
  <c r="D137" i="1"/>
  <c r="E137" i="1"/>
  <c r="F137" i="1"/>
  <c r="H137" i="1"/>
  <c r="I137" i="1"/>
  <c r="J137" i="1"/>
  <c r="K137" i="1"/>
  <c r="L137" i="1"/>
  <c r="M137" i="1"/>
  <c r="N137" i="1"/>
  <c r="O137" i="1"/>
  <c r="W137" i="1"/>
  <c r="Y137" i="1"/>
  <c r="Z137" i="1"/>
  <c r="AA137" i="1"/>
  <c r="AC137" i="1"/>
  <c r="AE137" i="1"/>
  <c r="AF137" i="1"/>
  <c r="AG137" i="1"/>
  <c r="AK137" i="1"/>
  <c r="AS137" i="1"/>
  <c r="AT137" i="1"/>
  <c r="B138" i="1"/>
  <c r="C138" i="1"/>
  <c r="D138" i="1"/>
  <c r="E138" i="1"/>
  <c r="F138" i="1"/>
  <c r="H138" i="1"/>
  <c r="I138" i="1"/>
  <c r="J138" i="1"/>
  <c r="K138" i="1"/>
  <c r="L138" i="1"/>
  <c r="M138" i="1"/>
  <c r="N138" i="1"/>
  <c r="O138" i="1"/>
  <c r="W138" i="1"/>
  <c r="Y138" i="1"/>
  <c r="Z138" i="1"/>
  <c r="AA138" i="1"/>
  <c r="AC138" i="1"/>
  <c r="AE138" i="1"/>
  <c r="AF138" i="1"/>
  <c r="AG138" i="1"/>
  <c r="AK138" i="1"/>
  <c r="AS138" i="1"/>
  <c r="AT138" i="1"/>
  <c r="B139" i="1"/>
  <c r="C139" i="1"/>
  <c r="D139" i="1"/>
  <c r="E139" i="1"/>
  <c r="F139" i="1"/>
  <c r="G139" i="1"/>
  <c r="H139" i="1"/>
  <c r="I139" i="1"/>
  <c r="J139" i="1"/>
  <c r="K139" i="1"/>
  <c r="L139" i="1"/>
  <c r="M139" i="1"/>
  <c r="N139" i="1"/>
  <c r="O139" i="1"/>
  <c r="W139" i="1"/>
  <c r="Y139" i="1"/>
  <c r="Z139" i="1"/>
  <c r="AA139" i="1"/>
  <c r="AC139" i="1"/>
  <c r="AE139" i="1"/>
  <c r="AF139" i="1"/>
  <c r="AG139" i="1"/>
  <c r="AK139" i="1"/>
  <c r="AS139" i="1"/>
  <c r="AT139" i="1"/>
  <c r="B140" i="1"/>
  <c r="C140" i="1"/>
  <c r="D140" i="1"/>
  <c r="E140" i="1"/>
  <c r="F140" i="1"/>
  <c r="G140" i="1"/>
  <c r="H140" i="1"/>
  <c r="I140" i="1"/>
  <c r="J140" i="1"/>
  <c r="K140" i="1"/>
  <c r="L140" i="1"/>
  <c r="M140" i="1"/>
  <c r="N140" i="1"/>
  <c r="O140" i="1"/>
  <c r="W140" i="1"/>
  <c r="Y140" i="1"/>
  <c r="Z140" i="1"/>
  <c r="AA140" i="1"/>
  <c r="AC140" i="1"/>
  <c r="AE140" i="1"/>
  <c r="AF140" i="1"/>
  <c r="AG140" i="1"/>
  <c r="AK140" i="1"/>
  <c r="AS140" i="1"/>
  <c r="AT140" i="1"/>
  <c r="B141" i="1"/>
  <c r="C141" i="1"/>
  <c r="D141" i="1"/>
  <c r="E141" i="1"/>
  <c r="F141" i="1"/>
  <c r="H141" i="1"/>
  <c r="I141" i="1"/>
  <c r="J141" i="1"/>
  <c r="K141" i="1"/>
  <c r="L141" i="1"/>
  <c r="M141" i="1"/>
  <c r="N141" i="1"/>
  <c r="O141" i="1"/>
  <c r="W141" i="1"/>
  <c r="Y141" i="1"/>
  <c r="Z141" i="1"/>
  <c r="AA141" i="1"/>
  <c r="AC141" i="1"/>
  <c r="AE141" i="1"/>
  <c r="AF141" i="1"/>
  <c r="AK141" i="1"/>
  <c r="AS141" i="1"/>
  <c r="AT141" i="1"/>
  <c r="B142" i="1"/>
  <c r="C142" i="1"/>
  <c r="D142" i="1"/>
  <c r="E142" i="1"/>
  <c r="F142" i="1"/>
  <c r="G142" i="1"/>
  <c r="H142" i="1"/>
  <c r="I142" i="1"/>
  <c r="J142" i="1"/>
  <c r="K142" i="1"/>
  <c r="L142" i="1"/>
  <c r="M142" i="1"/>
  <c r="N142" i="1"/>
  <c r="O142" i="1"/>
  <c r="W142" i="1"/>
  <c r="Y142" i="1"/>
  <c r="Z142" i="1"/>
  <c r="AA142" i="1"/>
  <c r="AC142" i="1"/>
  <c r="AE142" i="1"/>
  <c r="AF142" i="1"/>
  <c r="AG142" i="1"/>
  <c r="AK142" i="1"/>
  <c r="AS142" i="1"/>
  <c r="AT142" i="1"/>
  <c r="B143" i="1"/>
  <c r="C143" i="1"/>
  <c r="D143" i="1"/>
  <c r="E143" i="1"/>
  <c r="F143" i="1"/>
  <c r="G143" i="1"/>
  <c r="H143" i="1"/>
  <c r="I143" i="1"/>
  <c r="J143" i="1"/>
  <c r="K143" i="1"/>
  <c r="L143" i="1"/>
  <c r="M143" i="1"/>
  <c r="N143" i="1"/>
  <c r="O143" i="1"/>
  <c r="W143" i="1"/>
  <c r="Y143" i="1"/>
  <c r="Z143" i="1"/>
  <c r="AA143" i="1"/>
  <c r="AC143" i="1"/>
  <c r="AE143" i="1"/>
  <c r="AF143" i="1"/>
  <c r="AG143" i="1"/>
  <c r="AK143" i="1"/>
  <c r="AS143" i="1"/>
  <c r="AT143" i="1"/>
  <c r="B144" i="1"/>
  <c r="C144" i="1"/>
  <c r="D144" i="1"/>
  <c r="E144" i="1"/>
  <c r="F144" i="1"/>
  <c r="H144" i="1"/>
  <c r="I144" i="1"/>
  <c r="J144" i="1"/>
  <c r="K144" i="1"/>
  <c r="L144" i="1"/>
  <c r="M144" i="1"/>
  <c r="N144" i="1"/>
  <c r="O144" i="1"/>
  <c r="W144" i="1"/>
  <c r="Y144" i="1"/>
  <c r="Z144" i="1"/>
  <c r="AA144" i="1"/>
  <c r="AC144" i="1"/>
  <c r="AE144" i="1"/>
  <c r="AF144" i="1"/>
  <c r="AG144" i="1"/>
  <c r="AK144" i="1"/>
  <c r="AS144" i="1"/>
  <c r="AT144" i="1"/>
  <c r="B145" i="1"/>
  <c r="C145" i="1"/>
  <c r="D145" i="1"/>
  <c r="E145" i="1"/>
  <c r="F145" i="1"/>
  <c r="G145" i="1"/>
  <c r="H145" i="1"/>
  <c r="I145" i="1"/>
  <c r="J145" i="1"/>
  <c r="K145" i="1"/>
  <c r="L145" i="1"/>
  <c r="M145" i="1"/>
  <c r="N145" i="1"/>
  <c r="O145" i="1"/>
  <c r="W145" i="1"/>
  <c r="Y145" i="1"/>
  <c r="Z145" i="1"/>
  <c r="AA145" i="1"/>
  <c r="AC145" i="1"/>
  <c r="AE145" i="1"/>
  <c r="AF145" i="1"/>
  <c r="AG145" i="1"/>
  <c r="AK145" i="1"/>
  <c r="AS145" i="1"/>
  <c r="AT145" i="1"/>
  <c r="B146" i="1"/>
  <c r="C146" i="1"/>
  <c r="D146" i="1"/>
  <c r="E146" i="1"/>
  <c r="F146" i="1"/>
  <c r="H146" i="1"/>
  <c r="I146" i="1"/>
  <c r="J146" i="1"/>
  <c r="K146" i="1"/>
  <c r="L146" i="1"/>
  <c r="M146" i="1"/>
  <c r="N146" i="1"/>
  <c r="O146" i="1"/>
  <c r="W146" i="1"/>
  <c r="Y146" i="1"/>
  <c r="Z146" i="1"/>
  <c r="AA146" i="1"/>
  <c r="AC146" i="1"/>
  <c r="AE146" i="1"/>
  <c r="AF146" i="1"/>
  <c r="AG146" i="1"/>
  <c r="AK146" i="1"/>
  <c r="AS146" i="1"/>
  <c r="AT146" i="1"/>
  <c r="B147" i="1"/>
  <c r="C147" i="1"/>
  <c r="D147" i="1"/>
  <c r="E147" i="1"/>
  <c r="F147" i="1"/>
  <c r="G147" i="1"/>
  <c r="H147" i="1"/>
  <c r="I147" i="1"/>
  <c r="J147" i="1"/>
  <c r="K147" i="1"/>
  <c r="L147" i="1"/>
  <c r="M147" i="1"/>
  <c r="N147" i="1"/>
  <c r="O147" i="1"/>
  <c r="W147" i="1"/>
  <c r="Y147" i="1"/>
  <c r="Z147" i="1"/>
  <c r="AA147" i="1"/>
  <c r="AC147" i="1"/>
  <c r="AE147" i="1"/>
  <c r="AF147" i="1"/>
  <c r="AG147" i="1"/>
  <c r="AK147" i="1"/>
  <c r="AS147" i="1"/>
  <c r="AT147" i="1"/>
  <c r="B148" i="1"/>
  <c r="C148" i="1"/>
  <c r="D148" i="1"/>
  <c r="E148" i="1"/>
  <c r="F148" i="1"/>
  <c r="G148" i="1"/>
  <c r="H148" i="1"/>
  <c r="I148" i="1"/>
  <c r="J148" i="1"/>
  <c r="K148" i="1"/>
  <c r="L148" i="1"/>
  <c r="M148" i="1"/>
  <c r="N148" i="1"/>
  <c r="O148" i="1"/>
  <c r="W148" i="1"/>
  <c r="Y148" i="1"/>
  <c r="Z148" i="1"/>
  <c r="AA148" i="1"/>
  <c r="AC148" i="1"/>
  <c r="AE148" i="1"/>
  <c r="AF148" i="1"/>
  <c r="AG148" i="1"/>
  <c r="AK148" i="1"/>
  <c r="AS148" i="1"/>
  <c r="AT148" i="1"/>
  <c r="B149" i="1"/>
  <c r="C149" i="1"/>
  <c r="D149" i="1"/>
  <c r="E149" i="1"/>
  <c r="F149" i="1"/>
  <c r="G149" i="1"/>
  <c r="H149" i="1"/>
  <c r="I149" i="1"/>
  <c r="J149" i="1"/>
  <c r="K149" i="1"/>
  <c r="L149" i="1"/>
  <c r="M149" i="1"/>
  <c r="N149" i="1"/>
  <c r="O149" i="1"/>
  <c r="W149" i="1"/>
  <c r="Y149" i="1"/>
  <c r="Z149" i="1"/>
  <c r="AA149" i="1"/>
  <c r="AC149" i="1"/>
  <c r="AE149" i="1"/>
  <c r="AF149" i="1"/>
  <c r="AG149" i="1"/>
  <c r="AK149" i="1"/>
  <c r="AS149" i="1"/>
  <c r="AT149" i="1"/>
  <c r="B150" i="1"/>
  <c r="C150" i="1"/>
  <c r="D150" i="1"/>
  <c r="E150" i="1"/>
  <c r="F150" i="1"/>
  <c r="G150" i="1"/>
  <c r="H150" i="1"/>
  <c r="I150" i="1"/>
  <c r="J150" i="1"/>
  <c r="K150" i="1"/>
  <c r="L150" i="1"/>
  <c r="M150" i="1"/>
  <c r="N150" i="1"/>
  <c r="O150" i="1"/>
  <c r="W150" i="1"/>
  <c r="Y150" i="1"/>
  <c r="Z150" i="1"/>
  <c r="AA150" i="1"/>
  <c r="AC150" i="1"/>
  <c r="AE150" i="1"/>
  <c r="AF150" i="1"/>
  <c r="AG150" i="1"/>
  <c r="AK150" i="1"/>
  <c r="AS150" i="1"/>
  <c r="AT150" i="1"/>
  <c r="B151" i="1"/>
  <c r="C151" i="1"/>
  <c r="D151" i="1"/>
  <c r="E151" i="1"/>
  <c r="H151" i="1"/>
  <c r="I151" i="1"/>
  <c r="K151" i="1"/>
  <c r="L151" i="1"/>
  <c r="M151" i="1"/>
  <c r="N151" i="1"/>
  <c r="O151" i="1"/>
  <c r="W151" i="1"/>
  <c r="Y151" i="1"/>
  <c r="Z151" i="1"/>
  <c r="AA151" i="1"/>
  <c r="AC151" i="1"/>
  <c r="AE151" i="1"/>
  <c r="AF151" i="1"/>
  <c r="AG151" i="1"/>
  <c r="AK151" i="1"/>
  <c r="AT151" i="1"/>
  <c r="B152" i="1"/>
  <c r="C152" i="1"/>
  <c r="D152" i="1"/>
  <c r="E152" i="1"/>
  <c r="F152" i="1"/>
  <c r="G152" i="1"/>
  <c r="H152" i="1"/>
  <c r="I152" i="1"/>
  <c r="J152" i="1"/>
  <c r="K152" i="1"/>
  <c r="L152" i="1"/>
  <c r="M152" i="1"/>
  <c r="N152" i="1"/>
  <c r="O152" i="1"/>
  <c r="W152" i="1"/>
  <c r="Y152" i="1"/>
  <c r="Z152" i="1"/>
  <c r="AA152" i="1"/>
  <c r="AC152" i="1"/>
  <c r="AE152" i="1"/>
  <c r="AF152" i="1"/>
  <c r="AG152" i="1"/>
  <c r="AK152" i="1"/>
  <c r="AS152" i="1"/>
  <c r="AT152" i="1"/>
  <c r="B153" i="1"/>
  <c r="C153" i="1"/>
  <c r="D153" i="1"/>
  <c r="E153" i="1"/>
  <c r="F153" i="1"/>
  <c r="H153" i="1"/>
  <c r="I153" i="1"/>
  <c r="J153" i="1"/>
  <c r="K153" i="1"/>
  <c r="L153" i="1"/>
  <c r="M153" i="1"/>
  <c r="N153" i="1"/>
  <c r="O153" i="1"/>
  <c r="W153" i="1"/>
  <c r="Y153" i="1"/>
  <c r="Z153" i="1"/>
  <c r="AA153" i="1"/>
  <c r="AC153" i="1"/>
  <c r="AE153" i="1"/>
  <c r="AF153" i="1"/>
  <c r="AG153" i="1"/>
  <c r="AK153" i="1"/>
  <c r="AS153" i="1"/>
  <c r="AT153" i="1"/>
  <c r="B154" i="1"/>
  <c r="C154" i="1"/>
  <c r="D154" i="1"/>
  <c r="E154" i="1"/>
  <c r="F154" i="1"/>
  <c r="G154" i="1"/>
  <c r="H154" i="1"/>
  <c r="I154" i="1"/>
  <c r="J154" i="1"/>
  <c r="K154" i="1"/>
  <c r="L154" i="1"/>
  <c r="M154" i="1"/>
  <c r="N154" i="1"/>
  <c r="O154" i="1"/>
  <c r="W154" i="1"/>
  <c r="Y154" i="1"/>
  <c r="Z154" i="1"/>
  <c r="AA154" i="1"/>
  <c r="AC154" i="1"/>
  <c r="AE154" i="1"/>
  <c r="AF154" i="1"/>
  <c r="AG154" i="1"/>
  <c r="AK154" i="1"/>
  <c r="AS154" i="1"/>
  <c r="AT154" i="1"/>
  <c r="B155" i="1"/>
  <c r="C155" i="1"/>
  <c r="D155" i="1"/>
  <c r="E155" i="1"/>
  <c r="F155" i="1"/>
  <c r="G155" i="1"/>
  <c r="H155" i="1"/>
  <c r="I155" i="1"/>
  <c r="J155" i="1"/>
  <c r="K155" i="1"/>
  <c r="L155" i="1"/>
  <c r="M155" i="1"/>
  <c r="N155" i="1"/>
  <c r="O155" i="1"/>
  <c r="W155" i="1"/>
  <c r="Y155" i="1"/>
  <c r="Z155" i="1"/>
  <c r="AA155" i="1"/>
  <c r="AC155" i="1"/>
  <c r="AE155" i="1"/>
  <c r="AF155" i="1"/>
  <c r="AG155" i="1"/>
  <c r="AK155" i="1"/>
  <c r="AS155" i="1"/>
  <c r="AT155" i="1"/>
  <c r="B156" i="1"/>
  <c r="C156" i="1"/>
  <c r="D156" i="1"/>
  <c r="E156" i="1"/>
  <c r="F156" i="1"/>
  <c r="G156" i="1"/>
  <c r="H156" i="1"/>
  <c r="I156" i="1"/>
  <c r="J156" i="1"/>
  <c r="K156" i="1"/>
  <c r="L156" i="1"/>
  <c r="M156" i="1"/>
  <c r="N156" i="1"/>
  <c r="O156" i="1"/>
  <c r="W156" i="1"/>
  <c r="Y156" i="1"/>
  <c r="Z156" i="1"/>
  <c r="AA156" i="1"/>
  <c r="AC156" i="1"/>
  <c r="AE156" i="1"/>
  <c r="AF156" i="1"/>
  <c r="AG156" i="1"/>
  <c r="AK156" i="1"/>
  <c r="AS156" i="1"/>
  <c r="AT156" i="1"/>
  <c r="B157" i="1"/>
  <c r="C157" i="1"/>
  <c r="D157" i="1"/>
  <c r="E157" i="1"/>
  <c r="F157" i="1"/>
  <c r="G157" i="1"/>
  <c r="H157" i="1"/>
  <c r="I157" i="1"/>
  <c r="J157" i="1"/>
  <c r="K157" i="1"/>
  <c r="L157" i="1"/>
  <c r="M157" i="1"/>
  <c r="N157" i="1"/>
  <c r="O157" i="1"/>
  <c r="W157" i="1"/>
  <c r="Y157" i="1"/>
  <c r="Z157" i="1"/>
  <c r="AA157" i="1"/>
  <c r="AC157" i="1"/>
  <c r="AE157" i="1"/>
  <c r="AF157" i="1"/>
  <c r="AG157" i="1"/>
  <c r="AK157" i="1"/>
  <c r="AS157" i="1"/>
  <c r="AT157" i="1"/>
  <c r="B158" i="1"/>
  <c r="C158" i="1"/>
  <c r="D158" i="1"/>
  <c r="E158" i="1"/>
  <c r="F158" i="1"/>
  <c r="H158" i="1"/>
  <c r="I158" i="1"/>
  <c r="J158" i="1"/>
  <c r="K158" i="1"/>
  <c r="L158" i="1"/>
  <c r="M158" i="1"/>
  <c r="N158" i="1"/>
  <c r="O158" i="1"/>
  <c r="W158" i="1"/>
  <c r="Y158" i="1"/>
  <c r="Z158" i="1"/>
  <c r="AA158" i="1"/>
  <c r="AC158" i="1"/>
  <c r="AE158" i="1"/>
  <c r="AF158" i="1"/>
  <c r="AG158" i="1"/>
  <c r="AK158" i="1"/>
  <c r="AS158" i="1"/>
  <c r="AT158" i="1"/>
  <c r="B159" i="1"/>
  <c r="C159" i="1"/>
  <c r="D159" i="1"/>
  <c r="E159" i="1"/>
  <c r="F159" i="1"/>
  <c r="G159" i="1"/>
  <c r="H159" i="1"/>
  <c r="I159" i="1"/>
  <c r="J159" i="1"/>
  <c r="K159" i="1"/>
  <c r="L159" i="1"/>
  <c r="M159" i="1"/>
  <c r="N159" i="1"/>
  <c r="O159" i="1"/>
  <c r="W159" i="1"/>
  <c r="Y159" i="1"/>
  <c r="Z159" i="1"/>
  <c r="AA159" i="1"/>
  <c r="AC159" i="1"/>
  <c r="AE159" i="1"/>
  <c r="AF159" i="1"/>
  <c r="AG159" i="1"/>
  <c r="AK159" i="1"/>
  <c r="AS159" i="1"/>
  <c r="AT159" i="1"/>
  <c r="B160" i="1"/>
  <c r="C160" i="1"/>
  <c r="D160" i="1"/>
  <c r="E160" i="1"/>
  <c r="F160" i="1"/>
  <c r="G160" i="1"/>
  <c r="H160" i="1"/>
  <c r="I160" i="1"/>
  <c r="J160" i="1"/>
  <c r="K160" i="1"/>
  <c r="L160" i="1"/>
  <c r="M160" i="1"/>
  <c r="N160" i="1"/>
  <c r="O160" i="1"/>
  <c r="W160" i="1"/>
  <c r="Y160" i="1"/>
  <c r="Z160" i="1"/>
  <c r="AA160" i="1"/>
  <c r="AC160" i="1"/>
  <c r="AE160" i="1"/>
  <c r="AF160" i="1"/>
  <c r="AG160" i="1"/>
  <c r="AK160" i="1"/>
  <c r="AS160" i="1"/>
  <c r="AT160" i="1"/>
  <c r="B161" i="1"/>
  <c r="C161" i="1"/>
  <c r="D161" i="1"/>
  <c r="E161" i="1"/>
  <c r="F161" i="1"/>
  <c r="G161" i="1"/>
  <c r="H161" i="1"/>
  <c r="I161" i="1"/>
  <c r="J161" i="1"/>
  <c r="K161" i="1"/>
  <c r="L161" i="1"/>
  <c r="M161" i="1"/>
  <c r="N161" i="1"/>
  <c r="O161" i="1"/>
  <c r="W161" i="1"/>
  <c r="Y161" i="1"/>
  <c r="Z161" i="1"/>
  <c r="AA161" i="1"/>
  <c r="AC161" i="1"/>
  <c r="AE161" i="1"/>
  <c r="AF161" i="1"/>
  <c r="AG161" i="1"/>
  <c r="AK161" i="1"/>
  <c r="AS161" i="1"/>
  <c r="AT161" i="1"/>
  <c r="B162" i="1"/>
  <c r="C162" i="1"/>
  <c r="D162" i="1"/>
  <c r="E162" i="1"/>
  <c r="F162" i="1"/>
  <c r="G162" i="1"/>
  <c r="H162" i="1"/>
  <c r="I162" i="1"/>
  <c r="J162" i="1"/>
  <c r="K162" i="1"/>
  <c r="L162" i="1"/>
  <c r="M162" i="1"/>
  <c r="N162" i="1"/>
  <c r="O162" i="1"/>
  <c r="W162" i="1"/>
  <c r="Y162" i="1"/>
  <c r="Z162" i="1"/>
  <c r="AA162" i="1"/>
  <c r="AC162" i="1"/>
  <c r="AE162" i="1"/>
  <c r="AF162" i="1"/>
  <c r="AG162" i="1"/>
  <c r="AK162" i="1"/>
  <c r="AS162" i="1"/>
  <c r="AT162" i="1"/>
  <c r="B163" i="1"/>
  <c r="C163" i="1"/>
  <c r="D163" i="1"/>
  <c r="E163" i="1"/>
  <c r="F163" i="1"/>
  <c r="H163" i="1"/>
  <c r="I163" i="1"/>
  <c r="J163" i="1"/>
  <c r="K163" i="1"/>
  <c r="L163" i="1"/>
  <c r="M163" i="1"/>
  <c r="N163" i="1"/>
  <c r="O163" i="1"/>
  <c r="W163" i="1"/>
  <c r="Y163" i="1"/>
  <c r="Z163" i="1"/>
  <c r="AA163" i="1"/>
  <c r="AC163" i="1"/>
  <c r="AE163" i="1"/>
  <c r="AF163" i="1"/>
  <c r="AG163" i="1"/>
  <c r="AK163" i="1"/>
  <c r="AS163" i="1"/>
  <c r="AT163" i="1"/>
  <c r="B164" i="1"/>
  <c r="C164" i="1"/>
  <c r="D164" i="1"/>
  <c r="E164" i="1"/>
  <c r="F164" i="1"/>
  <c r="G164" i="1"/>
  <c r="H164" i="1"/>
  <c r="I164" i="1"/>
  <c r="J164" i="1"/>
  <c r="K164" i="1"/>
  <c r="L164" i="1"/>
  <c r="M164" i="1"/>
  <c r="N164" i="1"/>
  <c r="O164" i="1"/>
  <c r="W164" i="1"/>
  <c r="Y164" i="1"/>
  <c r="Z164" i="1"/>
  <c r="AA164" i="1"/>
  <c r="AC164" i="1"/>
  <c r="AE164" i="1"/>
  <c r="AF164" i="1"/>
  <c r="AG164" i="1"/>
  <c r="AK164" i="1"/>
  <c r="AS164" i="1"/>
  <c r="AT164" i="1"/>
  <c r="B165" i="1"/>
  <c r="C165" i="1"/>
  <c r="D165" i="1"/>
  <c r="E165" i="1"/>
  <c r="F165" i="1"/>
  <c r="H165" i="1"/>
  <c r="I165" i="1"/>
  <c r="J165" i="1"/>
  <c r="K165" i="1"/>
  <c r="L165" i="1"/>
  <c r="M165" i="1"/>
  <c r="N165" i="1"/>
  <c r="O165" i="1"/>
  <c r="W165" i="1"/>
  <c r="Y165" i="1"/>
  <c r="Z165" i="1"/>
  <c r="AA165" i="1"/>
  <c r="AC165" i="1"/>
  <c r="AE165" i="1"/>
  <c r="AF165" i="1"/>
  <c r="AG165" i="1"/>
  <c r="AK165" i="1"/>
  <c r="AS165" i="1"/>
  <c r="AT165" i="1"/>
  <c r="B166" i="1"/>
  <c r="C166" i="1"/>
  <c r="D166" i="1"/>
  <c r="E166" i="1"/>
  <c r="F166" i="1"/>
  <c r="H166" i="1"/>
  <c r="I166" i="1"/>
  <c r="J166" i="1"/>
  <c r="K166" i="1"/>
  <c r="L166" i="1"/>
  <c r="M166" i="1"/>
  <c r="N166" i="1"/>
  <c r="O166" i="1"/>
  <c r="W166" i="1"/>
  <c r="Y166" i="1"/>
  <c r="Z166" i="1"/>
  <c r="AA166" i="1"/>
  <c r="AC166" i="1"/>
  <c r="AE166" i="1"/>
  <c r="AF166" i="1"/>
  <c r="AG166" i="1"/>
  <c r="AK166" i="1"/>
  <c r="AS166" i="1"/>
  <c r="AT166" i="1"/>
  <c r="B167" i="1"/>
  <c r="C167" i="1"/>
  <c r="D167" i="1"/>
  <c r="E167" i="1"/>
  <c r="F167" i="1"/>
  <c r="G167" i="1"/>
  <c r="H167" i="1"/>
  <c r="I167" i="1"/>
  <c r="J167" i="1"/>
  <c r="K167" i="1"/>
  <c r="L167" i="1"/>
  <c r="M167" i="1"/>
  <c r="N167" i="1"/>
  <c r="O167" i="1"/>
  <c r="W167" i="1"/>
  <c r="Y167" i="1"/>
  <c r="Z167" i="1"/>
  <c r="AA167" i="1"/>
  <c r="AC167" i="1"/>
  <c r="AE167" i="1"/>
  <c r="AF167" i="1"/>
  <c r="AG167" i="1"/>
  <c r="AK167" i="1"/>
  <c r="AS167" i="1"/>
  <c r="AT167" i="1"/>
  <c r="B168" i="1"/>
  <c r="C168" i="1"/>
  <c r="D168" i="1"/>
  <c r="E168" i="1"/>
  <c r="F168" i="1"/>
  <c r="H168" i="1"/>
  <c r="I168" i="1"/>
  <c r="J168" i="1"/>
  <c r="K168" i="1"/>
  <c r="L168" i="1"/>
  <c r="M168" i="1"/>
  <c r="N168" i="1"/>
  <c r="O168" i="1"/>
  <c r="W168" i="1"/>
  <c r="Y168" i="1"/>
  <c r="Z168" i="1"/>
  <c r="AA168" i="1"/>
  <c r="AC168" i="1"/>
  <c r="AE168" i="1"/>
  <c r="AF168" i="1"/>
  <c r="AG168" i="1"/>
  <c r="AK168" i="1"/>
  <c r="AS168" i="1"/>
  <c r="AT168" i="1"/>
  <c r="B169" i="1"/>
  <c r="C169" i="1"/>
  <c r="D169" i="1"/>
  <c r="E169" i="1"/>
  <c r="F169" i="1"/>
  <c r="G169" i="1"/>
  <c r="H169" i="1"/>
  <c r="I169" i="1"/>
  <c r="J169" i="1"/>
  <c r="K169" i="1"/>
  <c r="L169" i="1"/>
  <c r="M169" i="1"/>
  <c r="N169" i="1"/>
  <c r="O169" i="1"/>
  <c r="W169" i="1"/>
  <c r="Y169" i="1"/>
  <c r="Z169" i="1"/>
  <c r="AA169" i="1"/>
  <c r="AC169" i="1"/>
  <c r="AE169" i="1"/>
  <c r="AF169" i="1"/>
  <c r="AG169" i="1"/>
  <c r="AK169" i="1"/>
  <c r="AS169" i="1"/>
  <c r="AT169" i="1"/>
  <c r="B170" i="1"/>
  <c r="C170" i="1"/>
  <c r="D170" i="1"/>
  <c r="E170" i="1"/>
  <c r="F170" i="1"/>
  <c r="G170" i="1"/>
  <c r="H170" i="1"/>
  <c r="I170" i="1"/>
  <c r="J170" i="1"/>
  <c r="K170" i="1"/>
  <c r="L170" i="1"/>
  <c r="M170" i="1"/>
  <c r="N170" i="1"/>
  <c r="O170" i="1"/>
  <c r="W170" i="1"/>
  <c r="Y170" i="1"/>
  <c r="Z170" i="1"/>
  <c r="AA170" i="1"/>
  <c r="AC170" i="1"/>
  <c r="AE170" i="1"/>
  <c r="AF170" i="1"/>
  <c r="AG170" i="1"/>
  <c r="AK170" i="1"/>
  <c r="AS170" i="1"/>
  <c r="AT170" i="1"/>
  <c r="B171" i="1"/>
  <c r="C171" i="1"/>
  <c r="D171" i="1"/>
  <c r="E171" i="1"/>
  <c r="F171" i="1"/>
  <c r="G171" i="1"/>
  <c r="H171" i="1"/>
  <c r="I171" i="1"/>
  <c r="J171" i="1"/>
  <c r="K171" i="1"/>
  <c r="L171" i="1"/>
  <c r="M171" i="1"/>
  <c r="N171" i="1"/>
  <c r="O171" i="1"/>
  <c r="W171" i="1"/>
  <c r="Y171" i="1"/>
  <c r="Z171" i="1"/>
  <c r="AA171" i="1"/>
  <c r="AC171" i="1"/>
  <c r="AE171" i="1"/>
  <c r="AF171" i="1"/>
  <c r="AG171" i="1"/>
  <c r="AK171" i="1"/>
  <c r="AS171" i="1"/>
  <c r="AT171" i="1"/>
  <c r="B172" i="1"/>
  <c r="C172" i="1"/>
  <c r="D172" i="1"/>
  <c r="E172" i="1"/>
  <c r="F172" i="1"/>
  <c r="H172" i="1"/>
  <c r="I172" i="1"/>
  <c r="J172" i="1"/>
  <c r="K172" i="1"/>
  <c r="L172" i="1"/>
  <c r="M172" i="1"/>
  <c r="N172" i="1"/>
  <c r="O172" i="1"/>
  <c r="W172" i="1"/>
  <c r="Y172" i="1"/>
  <c r="Z172" i="1"/>
  <c r="AA172" i="1"/>
  <c r="AC172" i="1"/>
  <c r="AE172" i="1"/>
  <c r="AF172" i="1"/>
  <c r="AG172" i="1"/>
  <c r="AK172" i="1"/>
  <c r="AS172" i="1"/>
  <c r="AT172" i="1"/>
  <c r="B173" i="1"/>
  <c r="C173" i="1"/>
  <c r="D173" i="1"/>
  <c r="E173" i="1"/>
  <c r="F173" i="1"/>
  <c r="H173" i="1"/>
  <c r="I173" i="1"/>
  <c r="J173" i="1"/>
  <c r="K173" i="1"/>
  <c r="L173" i="1"/>
  <c r="M173" i="1"/>
  <c r="N173" i="1"/>
  <c r="O173" i="1"/>
  <c r="W173" i="1"/>
  <c r="Y173" i="1"/>
  <c r="Z173" i="1"/>
  <c r="AA173" i="1"/>
  <c r="AC173" i="1"/>
  <c r="AE173" i="1"/>
  <c r="AF173" i="1"/>
  <c r="AG173" i="1"/>
  <c r="AK173" i="1"/>
  <c r="AS173" i="1"/>
  <c r="AT173" i="1"/>
  <c r="B174" i="1"/>
  <c r="C174" i="1"/>
  <c r="D174" i="1"/>
  <c r="E174" i="1"/>
  <c r="F174" i="1"/>
  <c r="G174" i="1"/>
  <c r="H174" i="1"/>
  <c r="I174" i="1"/>
  <c r="J174" i="1"/>
  <c r="K174" i="1"/>
  <c r="L174" i="1"/>
  <c r="M174" i="1"/>
  <c r="N174" i="1"/>
  <c r="O174" i="1"/>
  <c r="W174" i="1"/>
  <c r="Y174" i="1"/>
  <c r="Z174" i="1"/>
  <c r="AA174" i="1"/>
  <c r="AC174" i="1"/>
  <c r="AE174" i="1"/>
  <c r="AF174" i="1"/>
  <c r="AG174" i="1"/>
  <c r="AK174" i="1"/>
  <c r="AS174" i="1"/>
  <c r="AT174" i="1"/>
  <c r="B175" i="1"/>
  <c r="C175" i="1"/>
  <c r="D175" i="1"/>
  <c r="E175" i="1"/>
  <c r="F175" i="1"/>
  <c r="G175" i="1"/>
  <c r="H175" i="1"/>
  <c r="I175" i="1"/>
  <c r="J175" i="1"/>
  <c r="K175" i="1"/>
  <c r="L175" i="1"/>
  <c r="M175" i="1"/>
  <c r="N175" i="1"/>
  <c r="O175" i="1"/>
  <c r="W175" i="1"/>
  <c r="Y175" i="1"/>
  <c r="Z175" i="1"/>
  <c r="AA175" i="1"/>
  <c r="AC175" i="1"/>
  <c r="AE175" i="1"/>
  <c r="AF175" i="1"/>
  <c r="AG175" i="1"/>
  <c r="AK175" i="1"/>
  <c r="AS175" i="1"/>
  <c r="AT175" i="1"/>
  <c r="B176" i="1"/>
  <c r="C176" i="1"/>
  <c r="D176" i="1"/>
  <c r="E176" i="1"/>
  <c r="F176" i="1"/>
  <c r="G176" i="1"/>
  <c r="H176" i="1"/>
  <c r="I176" i="1"/>
  <c r="J176" i="1"/>
  <c r="K176" i="1"/>
  <c r="L176" i="1"/>
  <c r="M176" i="1"/>
  <c r="N176" i="1"/>
  <c r="O176" i="1"/>
  <c r="W176" i="1"/>
  <c r="Y176" i="1"/>
  <c r="Z176" i="1"/>
  <c r="AA176" i="1"/>
  <c r="AC176" i="1"/>
  <c r="AE176" i="1"/>
  <c r="AF176" i="1"/>
  <c r="AG176" i="1"/>
  <c r="AK176" i="1"/>
  <c r="AS176" i="1"/>
  <c r="AT176" i="1"/>
  <c r="B177" i="1"/>
  <c r="C177" i="1"/>
  <c r="D177" i="1"/>
  <c r="E177" i="1"/>
  <c r="F177" i="1"/>
  <c r="G177" i="1"/>
  <c r="H177" i="1"/>
  <c r="I177" i="1"/>
  <c r="J177" i="1"/>
  <c r="K177" i="1"/>
  <c r="L177" i="1"/>
  <c r="M177" i="1"/>
  <c r="N177" i="1"/>
  <c r="O177" i="1"/>
  <c r="W177" i="1"/>
  <c r="Y177" i="1"/>
  <c r="Z177" i="1"/>
  <c r="AA177" i="1"/>
  <c r="AC177" i="1"/>
  <c r="AE177" i="1"/>
  <c r="AF177" i="1"/>
  <c r="AG177" i="1"/>
  <c r="AK177" i="1"/>
  <c r="AS177" i="1"/>
  <c r="AT177" i="1"/>
  <c r="B178" i="1"/>
  <c r="C178" i="1"/>
  <c r="D178" i="1"/>
  <c r="E178" i="1"/>
  <c r="F178" i="1"/>
  <c r="G178" i="1"/>
  <c r="H178" i="1"/>
  <c r="I178" i="1"/>
  <c r="J178" i="1"/>
  <c r="K178" i="1"/>
  <c r="L178" i="1"/>
  <c r="M178" i="1"/>
  <c r="N178" i="1"/>
  <c r="O178" i="1"/>
  <c r="W178" i="1"/>
  <c r="Y178" i="1"/>
  <c r="Z178" i="1"/>
  <c r="AA178" i="1"/>
  <c r="AC178" i="1"/>
  <c r="AE178" i="1"/>
  <c r="AF178" i="1"/>
  <c r="AG178" i="1"/>
  <c r="AK178" i="1"/>
  <c r="AS178" i="1"/>
  <c r="AT178" i="1"/>
  <c r="B179" i="1"/>
  <c r="C179" i="1"/>
  <c r="D179" i="1"/>
  <c r="E179" i="1"/>
  <c r="F179" i="1"/>
  <c r="H179" i="1"/>
  <c r="I179" i="1"/>
  <c r="J179" i="1"/>
  <c r="K179" i="1"/>
  <c r="L179" i="1"/>
  <c r="M179" i="1"/>
  <c r="N179" i="1"/>
  <c r="O179" i="1"/>
  <c r="W179" i="1"/>
  <c r="Y179" i="1"/>
  <c r="Z179" i="1"/>
  <c r="AA179" i="1"/>
  <c r="AC179" i="1"/>
  <c r="AE179" i="1"/>
  <c r="AF179" i="1"/>
  <c r="AG179" i="1"/>
  <c r="AK179" i="1"/>
  <c r="AS179" i="1"/>
  <c r="AT179" i="1"/>
  <c r="B180" i="1"/>
  <c r="C180" i="1"/>
  <c r="D180" i="1"/>
  <c r="E180" i="1"/>
  <c r="F180" i="1"/>
  <c r="G180" i="1"/>
  <c r="H180" i="1"/>
  <c r="I180" i="1"/>
  <c r="J180" i="1"/>
  <c r="K180" i="1"/>
  <c r="L180" i="1"/>
  <c r="M180" i="1"/>
  <c r="N180" i="1"/>
  <c r="O180" i="1"/>
  <c r="W180" i="1"/>
  <c r="Y180" i="1"/>
  <c r="Z180" i="1"/>
  <c r="AA180" i="1"/>
  <c r="AC180" i="1"/>
  <c r="AE180" i="1"/>
  <c r="AF180" i="1"/>
  <c r="AG180" i="1"/>
  <c r="AK180" i="1"/>
  <c r="AS180" i="1"/>
  <c r="AT180" i="1"/>
  <c r="B181" i="1"/>
  <c r="C181" i="1"/>
  <c r="D181" i="1"/>
  <c r="E181" i="1"/>
  <c r="F181" i="1"/>
  <c r="H181" i="1"/>
  <c r="I181" i="1"/>
  <c r="J181" i="1"/>
  <c r="K181" i="1"/>
  <c r="L181" i="1"/>
  <c r="M181" i="1"/>
  <c r="N181" i="1"/>
  <c r="O181" i="1"/>
  <c r="W181" i="1"/>
  <c r="Y181" i="1"/>
  <c r="Z181" i="1"/>
  <c r="AA181" i="1"/>
  <c r="AC181" i="1"/>
  <c r="AE181" i="1"/>
  <c r="AF181" i="1"/>
  <c r="AG181" i="1"/>
  <c r="AK181" i="1"/>
  <c r="AS181" i="1"/>
  <c r="AT181" i="1"/>
  <c r="B182" i="1"/>
  <c r="C182" i="1"/>
  <c r="D182" i="1"/>
  <c r="E182" i="1"/>
  <c r="F182" i="1"/>
  <c r="H182" i="1"/>
  <c r="I182" i="1"/>
  <c r="J182" i="1"/>
  <c r="K182" i="1"/>
  <c r="L182" i="1"/>
  <c r="M182" i="1"/>
  <c r="N182" i="1"/>
  <c r="O182" i="1"/>
  <c r="S182" i="1"/>
  <c r="T182" i="1"/>
  <c r="U182" i="1"/>
  <c r="W182" i="1"/>
  <c r="Y182" i="1"/>
  <c r="Z182" i="1"/>
  <c r="AA182" i="1"/>
  <c r="AC182" i="1"/>
  <c r="AE182" i="1"/>
  <c r="AF182" i="1"/>
  <c r="AG182" i="1"/>
  <c r="AK182" i="1"/>
  <c r="AS182" i="1"/>
  <c r="AT182" i="1"/>
  <c r="B183" i="1"/>
  <c r="C183" i="1"/>
  <c r="D183" i="1"/>
  <c r="E183" i="1"/>
  <c r="F183" i="1"/>
  <c r="H183" i="1"/>
  <c r="I183" i="1"/>
  <c r="J183" i="1"/>
  <c r="K183" i="1"/>
  <c r="L183" i="1"/>
  <c r="M183" i="1"/>
  <c r="N183" i="1"/>
  <c r="O183" i="1"/>
  <c r="S183" i="1"/>
  <c r="T183" i="1"/>
  <c r="U183" i="1"/>
  <c r="W183" i="1"/>
  <c r="Y183" i="1"/>
  <c r="Z183" i="1"/>
  <c r="AA183" i="1"/>
  <c r="AC183" i="1"/>
  <c r="AE183" i="1"/>
  <c r="AF183" i="1"/>
  <c r="AG183" i="1"/>
  <c r="AK183" i="1"/>
  <c r="AS183" i="1"/>
  <c r="AT183" i="1"/>
  <c r="B184" i="1"/>
  <c r="C184" i="1"/>
  <c r="D184" i="1"/>
  <c r="E184" i="1"/>
  <c r="F184" i="1"/>
  <c r="H184" i="1"/>
  <c r="I184" i="1"/>
  <c r="J184" i="1"/>
  <c r="K184" i="1"/>
  <c r="L184" i="1"/>
  <c r="M184" i="1"/>
  <c r="N184" i="1"/>
  <c r="O184" i="1"/>
  <c r="W184" i="1"/>
  <c r="Y184" i="1"/>
  <c r="Z184" i="1"/>
  <c r="AA184" i="1"/>
  <c r="AC184" i="1"/>
  <c r="AE184" i="1"/>
  <c r="AF184" i="1"/>
  <c r="AG184" i="1"/>
  <c r="AK184" i="1"/>
  <c r="AS184" i="1"/>
  <c r="AT184" i="1"/>
  <c r="B185" i="1"/>
  <c r="C185" i="1"/>
  <c r="D185" i="1"/>
  <c r="E185" i="1"/>
  <c r="F185" i="1"/>
  <c r="H185" i="1"/>
  <c r="I185" i="1"/>
  <c r="J185" i="1"/>
  <c r="K185" i="1"/>
  <c r="L185" i="1"/>
  <c r="M185" i="1"/>
  <c r="N185" i="1"/>
  <c r="O185" i="1"/>
  <c r="W185" i="1"/>
  <c r="Y185" i="1"/>
  <c r="Z185" i="1"/>
  <c r="AA185" i="1"/>
  <c r="AC185" i="1"/>
  <c r="AE185" i="1"/>
  <c r="AF185" i="1"/>
  <c r="AG185" i="1"/>
  <c r="AK185" i="1"/>
  <c r="AS185" i="1"/>
  <c r="AT185" i="1"/>
  <c r="B186" i="1"/>
  <c r="C186" i="1"/>
  <c r="D186" i="1"/>
  <c r="E186" i="1"/>
  <c r="F186" i="1"/>
  <c r="H186" i="1"/>
  <c r="I186" i="1"/>
  <c r="J186" i="1"/>
  <c r="K186" i="1"/>
  <c r="L186" i="1"/>
  <c r="M186" i="1"/>
  <c r="N186" i="1"/>
  <c r="O186" i="1"/>
  <c r="W186" i="1"/>
  <c r="Y186" i="1"/>
  <c r="Z186" i="1"/>
  <c r="AA186" i="1"/>
  <c r="AC186" i="1"/>
  <c r="AE186" i="1"/>
  <c r="AF186" i="1"/>
  <c r="AG186" i="1"/>
  <c r="AK186" i="1"/>
  <c r="AS186" i="1"/>
  <c r="AT186" i="1"/>
  <c r="B187" i="1"/>
  <c r="C187" i="1"/>
  <c r="D187" i="1"/>
  <c r="E187" i="1"/>
  <c r="F187" i="1"/>
  <c r="G187" i="1"/>
  <c r="H187" i="1"/>
  <c r="I187" i="1"/>
  <c r="J187" i="1"/>
  <c r="K187" i="1"/>
  <c r="L187" i="1"/>
  <c r="M187" i="1"/>
  <c r="N187" i="1"/>
  <c r="O187" i="1"/>
  <c r="W187" i="1"/>
  <c r="Y187" i="1"/>
  <c r="Z187" i="1"/>
  <c r="AA187" i="1"/>
  <c r="AC187" i="1"/>
  <c r="AE187" i="1"/>
  <c r="AF187" i="1"/>
  <c r="AG187" i="1"/>
  <c r="AK187" i="1"/>
  <c r="AS187" i="1"/>
  <c r="AT187" i="1"/>
  <c r="B188" i="1"/>
  <c r="C188" i="1"/>
  <c r="D188" i="1"/>
  <c r="E188" i="1"/>
  <c r="F188" i="1"/>
  <c r="H188" i="1"/>
  <c r="I188" i="1"/>
  <c r="J188" i="1"/>
  <c r="K188" i="1"/>
  <c r="L188" i="1"/>
  <c r="M188" i="1"/>
  <c r="N188" i="1"/>
  <c r="O188" i="1"/>
  <c r="W188" i="1"/>
  <c r="Y188" i="1"/>
  <c r="Z188" i="1"/>
  <c r="AA188" i="1"/>
  <c r="AC188" i="1"/>
  <c r="AE188" i="1"/>
  <c r="AF188" i="1"/>
  <c r="AG188" i="1"/>
  <c r="AK188" i="1"/>
  <c r="AS188" i="1"/>
  <c r="AT188" i="1"/>
  <c r="B189" i="1"/>
  <c r="C189" i="1"/>
  <c r="D189" i="1"/>
  <c r="E189" i="1"/>
  <c r="F189" i="1"/>
  <c r="G189" i="1"/>
  <c r="H189" i="1"/>
  <c r="I189" i="1"/>
  <c r="J189" i="1"/>
  <c r="K189" i="1"/>
  <c r="L189" i="1"/>
  <c r="M189" i="1"/>
  <c r="N189" i="1"/>
  <c r="O189" i="1"/>
  <c r="W189" i="1"/>
  <c r="Y189" i="1"/>
  <c r="Z189" i="1"/>
  <c r="AA189" i="1"/>
  <c r="AC189" i="1"/>
  <c r="AE189" i="1"/>
  <c r="AF189" i="1"/>
  <c r="AG189" i="1"/>
  <c r="AK189" i="1"/>
  <c r="AS189" i="1"/>
  <c r="AT189" i="1"/>
  <c r="B190" i="1"/>
  <c r="C190" i="1"/>
  <c r="D190" i="1"/>
  <c r="E190" i="1"/>
  <c r="F190" i="1"/>
  <c r="H190" i="1"/>
  <c r="I190" i="1"/>
  <c r="J190" i="1"/>
  <c r="K190" i="1"/>
  <c r="L190" i="1"/>
  <c r="M190" i="1"/>
  <c r="N190" i="1"/>
  <c r="O190" i="1"/>
  <c r="W190" i="1"/>
  <c r="Y190" i="1"/>
  <c r="Z190" i="1"/>
  <c r="AA190" i="1"/>
  <c r="AC190" i="1"/>
  <c r="AE190" i="1"/>
  <c r="AF190" i="1"/>
  <c r="AG190" i="1"/>
  <c r="AK190" i="1"/>
  <c r="AS190" i="1"/>
  <c r="AT190" i="1"/>
  <c r="B191" i="1"/>
  <c r="C191" i="1"/>
  <c r="D191" i="1"/>
  <c r="E191" i="1"/>
  <c r="F191" i="1"/>
  <c r="H191" i="1"/>
  <c r="I191" i="1"/>
  <c r="J191" i="1"/>
  <c r="K191" i="1"/>
  <c r="L191" i="1"/>
  <c r="M191" i="1"/>
  <c r="N191" i="1"/>
  <c r="O191" i="1"/>
  <c r="W191" i="1"/>
  <c r="Y191" i="1"/>
  <c r="Z191" i="1"/>
  <c r="AA191" i="1"/>
  <c r="AC191" i="1"/>
  <c r="AE191" i="1"/>
  <c r="AF191" i="1"/>
  <c r="AG191" i="1"/>
  <c r="AK191" i="1"/>
  <c r="AS191" i="1"/>
  <c r="AT191" i="1"/>
  <c r="B192" i="1"/>
  <c r="C192" i="1"/>
  <c r="D192" i="1"/>
  <c r="E192" i="1"/>
  <c r="F192" i="1"/>
  <c r="H192" i="1"/>
  <c r="I192" i="1"/>
  <c r="J192" i="1"/>
  <c r="K192" i="1"/>
  <c r="L192" i="1"/>
  <c r="M192" i="1"/>
  <c r="N192" i="1"/>
  <c r="O192" i="1"/>
  <c r="W192" i="1"/>
  <c r="Y192" i="1"/>
  <c r="Z192" i="1"/>
  <c r="AA192" i="1"/>
  <c r="AC192" i="1"/>
  <c r="AE192" i="1"/>
  <c r="AF192" i="1"/>
  <c r="AG192" i="1"/>
  <c r="AK192" i="1"/>
  <c r="AS192" i="1"/>
  <c r="AT192" i="1"/>
  <c r="B193" i="1"/>
  <c r="C193" i="1"/>
  <c r="D193" i="1"/>
  <c r="E193" i="1"/>
  <c r="F193" i="1"/>
  <c r="H193" i="1"/>
  <c r="I193" i="1"/>
  <c r="J193" i="1"/>
  <c r="K193" i="1"/>
  <c r="L193" i="1"/>
  <c r="M193" i="1"/>
  <c r="N193" i="1"/>
  <c r="O193" i="1"/>
  <c r="S193" i="1"/>
  <c r="T193" i="1"/>
  <c r="U193" i="1"/>
  <c r="W193" i="1"/>
  <c r="Y193" i="1"/>
  <c r="Z193" i="1"/>
  <c r="AA193" i="1"/>
  <c r="AC193" i="1"/>
  <c r="AE193" i="1"/>
  <c r="AF193" i="1"/>
  <c r="AG193" i="1"/>
  <c r="AK193" i="1"/>
  <c r="AS193" i="1"/>
  <c r="AT193" i="1"/>
  <c r="B194" i="1"/>
  <c r="C194" i="1"/>
  <c r="D194" i="1"/>
  <c r="E194" i="1"/>
  <c r="F194" i="1"/>
  <c r="H194" i="1"/>
  <c r="I194" i="1"/>
  <c r="J194" i="1"/>
  <c r="K194" i="1"/>
  <c r="L194" i="1"/>
  <c r="M194" i="1"/>
  <c r="N194" i="1"/>
  <c r="O194" i="1"/>
  <c r="W194" i="1"/>
  <c r="Y194" i="1"/>
  <c r="Z194" i="1"/>
  <c r="AA194" i="1"/>
  <c r="AC194" i="1"/>
  <c r="AE194" i="1"/>
  <c r="AF194" i="1"/>
  <c r="AG194" i="1"/>
  <c r="AK194" i="1"/>
  <c r="AS194" i="1"/>
  <c r="AT194" i="1"/>
  <c r="B195" i="1"/>
  <c r="C195" i="1"/>
  <c r="D195" i="1"/>
  <c r="E195" i="1"/>
  <c r="F195" i="1"/>
  <c r="G195" i="1"/>
  <c r="H195" i="1"/>
  <c r="I195" i="1"/>
  <c r="J195" i="1"/>
  <c r="K195" i="1"/>
  <c r="L195" i="1"/>
  <c r="M195" i="1"/>
  <c r="N195" i="1"/>
  <c r="O195" i="1"/>
  <c r="W195" i="1"/>
  <c r="Y195" i="1"/>
  <c r="Z195" i="1"/>
  <c r="AA195" i="1"/>
  <c r="AC195" i="1"/>
  <c r="AE195" i="1"/>
  <c r="AF195" i="1"/>
  <c r="AG195" i="1"/>
  <c r="AK195" i="1"/>
  <c r="AS195" i="1"/>
  <c r="AT195" i="1"/>
  <c r="B196" i="1"/>
  <c r="C196" i="1"/>
  <c r="D196" i="1"/>
  <c r="E196" i="1"/>
  <c r="F196" i="1"/>
  <c r="G196" i="1"/>
  <c r="H196" i="1"/>
  <c r="I196" i="1"/>
  <c r="J196" i="1"/>
  <c r="K196" i="1"/>
  <c r="L196" i="1"/>
  <c r="M196" i="1"/>
  <c r="N196" i="1"/>
  <c r="O196" i="1"/>
  <c r="W196" i="1"/>
  <c r="Y196" i="1"/>
  <c r="Z196" i="1"/>
  <c r="AA196" i="1"/>
  <c r="AC196" i="1"/>
  <c r="AE196" i="1"/>
  <c r="AF196" i="1"/>
  <c r="AG196" i="1"/>
  <c r="AK196" i="1"/>
  <c r="AS196" i="1"/>
  <c r="AT196" i="1"/>
  <c r="B197" i="1"/>
  <c r="C197" i="1"/>
  <c r="D197" i="1"/>
  <c r="E197" i="1"/>
  <c r="F197" i="1"/>
  <c r="H197" i="1"/>
  <c r="I197" i="1"/>
  <c r="J197" i="1"/>
  <c r="K197" i="1"/>
  <c r="L197" i="1"/>
  <c r="M197" i="1"/>
  <c r="N197" i="1"/>
  <c r="O197" i="1"/>
  <c r="W197" i="1"/>
  <c r="Y197" i="1"/>
  <c r="Z197" i="1"/>
  <c r="AA197" i="1"/>
  <c r="AC197" i="1"/>
  <c r="AE197" i="1"/>
  <c r="AF197" i="1"/>
  <c r="AG197" i="1"/>
  <c r="AK197" i="1"/>
  <c r="AS197" i="1"/>
  <c r="AT197" i="1"/>
  <c r="B198" i="1"/>
  <c r="C198" i="1"/>
  <c r="D198" i="1"/>
  <c r="E198" i="1"/>
  <c r="F198" i="1"/>
  <c r="H198" i="1"/>
  <c r="I198" i="1"/>
  <c r="J198" i="1"/>
  <c r="K198" i="1"/>
  <c r="L198" i="1"/>
  <c r="M198" i="1"/>
  <c r="N198" i="1"/>
  <c r="O198" i="1"/>
  <c r="W198" i="1"/>
  <c r="Y198" i="1"/>
  <c r="Z198" i="1"/>
  <c r="AA198" i="1"/>
  <c r="AC198" i="1"/>
  <c r="AE198" i="1"/>
  <c r="AF198" i="1"/>
  <c r="AG198" i="1"/>
  <c r="AK198" i="1"/>
  <c r="AS198" i="1"/>
  <c r="AT198" i="1"/>
  <c r="B199" i="1"/>
  <c r="C199" i="1"/>
  <c r="D199" i="1"/>
  <c r="E199" i="1"/>
  <c r="F199" i="1"/>
  <c r="H199" i="1"/>
  <c r="I199" i="1"/>
  <c r="J199" i="1"/>
  <c r="K199" i="1"/>
  <c r="L199" i="1"/>
  <c r="M199" i="1"/>
  <c r="N199" i="1"/>
  <c r="O199" i="1"/>
  <c r="W199" i="1"/>
  <c r="Y199" i="1"/>
  <c r="Z199" i="1"/>
  <c r="AA199" i="1"/>
  <c r="AC199" i="1"/>
  <c r="AD199" i="1"/>
  <c r="AE199" i="1"/>
  <c r="AF199" i="1"/>
  <c r="AG199" i="1"/>
  <c r="AK199" i="1"/>
  <c r="AS199" i="1"/>
  <c r="AT199" i="1"/>
  <c r="B200" i="1"/>
  <c r="C200" i="1"/>
  <c r="D200" i="1"/>
  <c r="E200" i="1"/>
  <c r="F200" i="1"/>
  <c r="H200" i="1"/>
  <c r="I200" i="1"/>
  <c r="J200" i="1"/>
  <c r="K200" i="1"/>
  <c r="L200" i="1"/>
  <c r="M200" i="1"/>
  <c r="N200" i="1"/>
  <c r="O200" i="1"/>
  <c r="W200" i="1"/>
  <c r="Y200" i="1"/>
  <c r="Z200" i="1"/>
  <c r="AA200" i="1"/>
  <c r="AC200" i="1"/>
  <c r="AD200" i="1"/>
  <c r="AE200" i="1"/>
  <c r="AF200" i="1"/>
  <c r="AG200" i="1"/>
  <c r="AK200" i="1"/>
  <c r="AS200" i="1"/>
  <c r="AT200" i="1"/>
  <c r="B201" i="1"/>
  <c r="C201" i="1"/>
  <c r="D201" i="1"/>
  <c r="E201" i="1"/>
  <c r="F201" i="1"/>
  <c r="H201" i="1"/>
  <c r="I201" i="1"/>
  <c r="J201" i="1"/>
  <c r="K201" i="1"/>
  <c r="L201" i="1"/>
  <c r="M201" i="1"/>
  <c r="N201" i="1"/>
  <c r="O201" i="1"/>
  <c r="W201" i="1"/>
  <c r="Y201" i="1"/>
  <c r="Z201" i="1"/>
  <c r="AA201" i="1"/>
  <c r="AC201" i="1"/>
  <c r="AE201" i="1"/>
  <c r="AF201" i="1"/>
  <c r="AG201" i="1"/>
  <c r="AK201" i="1"/>
  <c r="AS201" i="1"/>
  <c r="AT201" i="1"/>
  <c r="B202" i="1"/>
  <c r="C202" i="1"/>
  <c r="D202" i="1"/>
  <c r="E202" i="1"/>
  <c r="F202" i="1"/>
  <c r="G202" i="1"/>
  <c r="H202" i="1"/>
  <c r="I202" i="1"/>
  <c r="J202" i="1"/>
  <c r="K202" i="1"/>
  <c r="L202" i="1"/>
  <c r="M202" i="1"/>
  <c r="N202" i="1"/>
  <c r="O202" i="1"/>
  <c r="W202" i="1"/>
  <c r="Y202" i="1"/>
  <c r="Z202" i="1"/>
  <c r="AA202" i="1"/>
  <c r="AC202" i="1"/>
  <c r="AE202" i="1"/>
  <c r="AF202" i="1"/>
  <c r="AG202" i="1"/>
  <c r="AK202" i="1"/>
  <c r="AS202" i="1"/>
  <c r="AT202" i="1"/>
  <c r="B203" i="1"/>
  <c r="C203" i="1"/>
  <c r="D203" i="1"/>
  <c r="E203" i="1"/>
  <c r="F203" i="1"/>
  <c r="H203" i="1"/>
  <c r="I203" i="1"/>
  <c r="J203" i="1"/>
  <c r="K203" i="1"/>
  <c r="L203" i="1"/>
  <c r="M203" i="1"/>
  <c r="N203" i="1"/>
  <c r="O203" i="1"/>
  <c r="W203" i="1"/>
  <c r="Y203" i="1"/>
  <c r="Z203" i="1"/>
  <c r="AA203" i="1"/>
  <c r="AC203" i="1"/>
  <c r="AE203" i="1"/>
  <c r="AF203" i="1"/>
  <c r="AG203" i="1"/>
  <c r="AK203" i="1"/>
  <c r="AS203" i="1"/>
  <c r="AT203" i="1"/>
  <c r="B204" i="1"/>
  <c r="C204" i="1"/>
  <c r="D204" i="1"/>
  <c r="E204" i="1"/>
  <c r="F204" i="1"/>
  <c r="H204" i="1"/>
  <c r="I204" i="1"/>
  <c r="J204" i="1"/>
  <c r="K204" i="1"/>
  <c r="L204" i="1"/>
  <c r="M204" i="1"/>
  <c r="N204" i="1"/>
  <c r="O204" i="1"/>
  <c r="W204" i="1"/>
  <c r="Y204" i="1"/>
  <c r="Z204" i="1"/>
  <c r="AA204" i="1"/>
  <c r="AC204" i="1"/>
  <c r="AE204" i="1"/>
  <c r="AF204" i="1"/>
  <c r="AG204" i="1"/>
  <c r="AK204" i="1"/>
  <c r="AS204" i="1"/>
  <c r="AT204" i="1"/>
  <c r="B205" i="1"/>
  <c r="C205" i="1"/>
  <c r="D205" i="1"/>
  <c r="E205" i="1"/>
  <c r="F205" i="1"/>
  <c r="H205" i="1"/>
  <c r="I205" i="1"/>
  <c r="J205" i="1"/>
  <c r="K205" i="1"/>
  <c r="L205" i="1"/>
  <c r="M205" i="1"/>
  <c r="N205" i="1"/>
  <c r="O205" i="1"/>
  <c r="W205" i="1"/>
  <c r="Y205" i="1"/>
  <c r="Z205" i="1"/>
  <c r="AA205" i="1"/>
  <c r="AC205" i="1"/>
  <c r="AE205" i="1"/>
  <c r="AF205" i="1"/>
  <c r="AG205" i="1"/>
  <c r="AK205" i="1"/>
  <c r="AS205" i="1"/>
  <c r="AT205" i="1"/>
  <c r="B206" i="1"/>
  <c r="C206" i="1"/>
  <c r="D206" i="1"/>
  <c r="E206" i="1"/>
  <c r="F206" i="1"/>
  <c r="G206" i="1"/>
  <c r="H206" i="1"/>
  <c r="I206" i="1"/>
  <c r="J206" i="1"/>
  <c r="K206" i="1"/>
  <c r="L206" i="1"/>
  <c r="M206" i="1"/>
  <c r="N206" i="1"/>
  <c r="O206" i="1"/>
  <c r="W206" i="1"/>
  <c r="Y206" i="1"/>
  <c r="Z206" i="1"/>
  <c r="AA206" i="1"/>
  <c r="AC206" i="1"/>
  <c r="AE206" i="1"/>
  <c r="AF206" i="1"/>
  <c r="AG206" i="1"/>
  <c r="AK206" i="1"/>
  <c r="AS206" i="1"/>
  <c r="AT206" i="1"/>
  <c r="B207" i="1"/>
  <c r="C207" i="1"/>
  <c r="D207" i="1"/>
  <c r="E207" i="1"/>
  <c r="F207" i="1"/>
  <c r="H207" i="1"/>
  <c r="I207" i="1"/>
  <c r="J207" i="1"/>
  <c r="K207" i="1"/>
  <c r="L207" i="1"/>
  <c r="M207" i="1"/>
  <c r="N207" i="1"/>
  <c r="O207" i="1"/>
  <c r="W207" i="1"/>
  <c r="Y207" i="1"/>
  <c r="Z207" i="1"/>
  <c r="AA207" i="1"/>
  <c r="AC207" i="1"/>
  <c r="AE207" i="1"/>
  <c r="AF207" i="1"/>
  <c r="AG207" i="1"/>
  <c r="AK207" i="1"/>
  <c r="AS207" i="1"/>
  <c r="AT207" i="1"/>
  <c r="B208" i="1"/>
  <c r="C208" i="1"/>
  <c r="D208" i="1"/>
  <c r="E208" i="1"/>
  <c r="F208" i="1"/>
  <c r="H208" i="1"/>
  <c r="I208" i="1"/>
  <c r="J208" i="1"/>
  <c r="K208" i="1"/>
  <c r="L208" i="1"/>
  <c r="M208" i="1"/>
  <c r="N208" i="1"/>
  <c r="O208" i="1"/>
  <c r="W208" i="1"/>
  <c r="Y208" i="1"/>
  <c r="Z208" i="1"/>
  <c r="AA208" i="1"/>
  <c r="AC208" i="1"/>
  <c r="AE208" i="1"/>
  <c r="AF208" i="1"/>
  <c r="AG208" i="1"/>
  <c r="AK208" i="1"/>
  <c r="AS208" i="1"/>
  <c r="AT208" i="1"/>
  <c r="B209" i="1"/>
  <c r="C209" i="1"/>
  <c r="D209" i="1"/>
  <c r="E209" i="1"/>
  <c r="F209" i="1"/>
  <c r="H209" i="1"/>
  <c r="I209" i="1"/>
  <c r="J209" i="1"/>
  <c r="K209" i="1"/>
  <c r="L209" i="1"/>
  <c r="M209" i="1"/>
  <c r="N209" i="1"/>
  <c r="O209" i="1"/>
  <c r="W209" i="1"/>
  <c r="Y209" i="1"/>
  <c r="Z209" i="1"/>
  <c r="AA209" i="1"/>
  <c r="AC209" i="1"/>
  <c r="AE209" i="1"/>
  <c r="AF209" i="1"/>
  <c r="AG209" i="1"/>
  <c r="AK209" i="1"/>
  <c r="AS209" i="1"/>
  <c r="AT209" i="1"/>
  <c r="B210" i="1"/>
  <c r="C210" i="1"/>
  <c r="D210" i="1"/>
  <c r="E210" i="1"/>
  <c r="F210" i="1"/>
  <c r="H210" i="1"/>
  <c r="I210" i="1"/>
  <c r="J210" i="1"/>
  <c r="K210" i="1"/>
  <c r="L210" i="1"/>
  <c r="M210" i="1"/>
  <c r="N210" i="1"/>
  <c r="O210" i="1"/>
  <c r="W210" i="1"/>
  <c r="Y210" i="1"/>
  <c r="Z210" i="1"/>
  <c r="AA210" i="1"/>
  <c r="AC210" i="1"/>
  <c r="AE210" i="1"/>
  <c r="AF210" i="1"/>
  <c r="AG210" i="1"/>
  <c r="AK210" i="1"/>
  <c r="AS210" i="1"/>
  <c r="AT210" i="1"/>
  <c r="B211" i="1"/>
  <c r="C211" i="1"/>
  <c r="D211" i="1"/>
  <c r="E211" i="1"/>
  <c r="F211" i="1"/>
  <c r="H211" i="1"/>
  <c r="I211" i="1"/>
  <c r="J211" i="1"/>
  <c r="K211" i="1"/>
  <c r="L211" i="1"/>
  <c r="M211" i="1"/>
  <c r="N211" i="1"/>
  <c r="O211" i="1"/>
  <c r="W211" i="1"/>
  <c r="Y211" i="1"/>
  <c r="Z211" i="1"/>
  <c r="AA211" i="1"/>
  <c r="AC211" i="1"/>
  <c r="AE211" i="1"/>
  <c r="AF211" i="1"/>
  <c r="AG211" i="1"/>
  <c r="AK211" i="1"/>
  <c r="AS211" i="1"/>
  <c r="AT211" i="1"/>
  <c r="B212" i="1"/>
  <c r="C212" i="1"/>
  <c r="D212" i="1"/>
  <c r="E212" i="1"/>
  <c r="F212" i="1"/>
  <c r="H212" i="1"/>
  <c r="I212" i="1"/>
  <c r="J212" i="1"/>
  <c r="K212" i="1"/>
  <c r="L212" i="1"/>
  <c r="M212" i="1"/>
  <c r="N212" i="1"/>
  <c r="O212" i="1"/>
  <c r="W212" i="1"/>
  <c r="Y212" i="1"/>
  <c r="Z212" i="1"/>
  <c r="AA212" i="1"/>
  <c r="AC212" i="1"/>
  <c r="AE212" i="1"/>
  <c r="AF212" i="1"/>
  <c r="AG212" i="1"/>
  <c r="AK212" i="1"/>
  <c r="AS212" i="1"/>
  <c r="AT212" i="1"/>
  <c r="B213" i="1"/>
  <c r="C213" i="1"/>
  <c r="D213" i="1"/>
  <c r="E213" i="1"/>
  <c r="F213" i="1"/>
  <c r="H213" i="1"/>
  <c r="I213" i="1"/>
  <c r="J213" i="1"/>
  <c r="K213" i="1"/>
  <c r="L213" i="1"/>
  <c r="M213" i="1"/>
  <c r="N213" i="1"/>
  <c r="O213" i="1"/>
  <c r="W213" i="1"/>
  <c r="Y213" i="1"/>
  <c r="Z213" i="1"/>
  <c r="AA213" i="1"/>
  <c r="AC213" i="1"/>
  <c r="AE213" i="1"/>
  <c r="AF213" i="1"/>
  <c r="AG213" i="1"/>
  <c r="AK213" i="1"/>
  <c r="AS213" i="1"/>
  <c r="AT213" i="1"/>
  <c r="B214" i="1"/>
  <c r="C214" i="1"/>
  <c r="D214" i="1"/>
  <c r="E214" i="1"/>
  <c r="F214" i="1"/>
  <c r="G214" i="1"/>
  <c r="H214" i="1"/>
  <c r="I214" i="1"/>
  <c r="J214" i="1"/>
  <c r="K214" i="1"/>
  <c r="L214" i="1"/>
  <c r="M214" i="1"/>
  <c r="N214" i="1"/>
  <c r="O214" i="1"/>
  <c r="W214" i="1"/>
  <c r="Y214" i="1"/>
  <c r="Z214" i="1"/>
  <c r="AA214" i="1"/>
  <c r="AC214" i="1"/>
  <c r="AE214" i="1"/>
  <c r="AF214" i="1"/>
  <c r="AG214" i="1"/>
  <c r="AK214" i="1"/>
  <c r="AS214" i="1"/>
  <c r="AT214" i="1"/>
  <c r="B215" i="1"/>
  <c r="C215" i="1"/>
  <c r="D215" i="1"/>
  <c r="E215" i="1"/>
  <c r="F215" i="1"/>
  <c r="G215" i="1"/>
  <c r="H215" i="1"/>
  <c r="I215" i="1"/>
  <c r="J215" i="1"/>
  <c r="K215" i="1"/>
  <c r="L215" i="1"/>
  <c r="M215" i="1"/>
  <c r="N215" i="1"/>
  <c r="O215" i="1"/>
  <c r="W215" i="1"/>
  <c r="Y215" i="1"/>
  <c r="Z215" i="1"/>
  <c r="AA215" i="1"/>
  <c r="AC215" i="1"/>
  <c r="AE215" i="1"/>
  <c r="AF215" i="1"/>
  <c r="AG215" i="1"/>
  <c r="AK215" i="1"/>
  <c r="AS215" i="1"/>
  <c r="AT215" i="1"/>
  <c r="B216" i="1"/>
  <c r="C216" i="1"/>
  <c r="D216" i="1"/>
  <c r="E216" i="1"/>
  <c r="F216" i="1"/>
  <c r="G216" i="1"/>
  <c r="H216" i="1"/>
  <c r="I216" i="1"/>
  <c r="J216" i="1"/>
  <c r="K216" i="1"/>
  <c r="L216" i="1"/>
  <c r="M216" i="1"/>
  <c r="N216" i="1"/>
  <c r="O216" i="1"/>
  <c r="W216" i="1"/>
  <c r="Y216" i="1"/>
  <c r="Z216" i="1"/>
  <c r="AA216" i="1"/>
  <c r="AC216" i="1"/>
  <c r="AE216" i="1"/>
  <c r="AF216" i="1"/>
  <c r="AG216" i="1"/>
  <c r="AK216" i="1"/>
  <c r="AS216" i="1"/>
  <c r="AT216" i="1"/>
  <c r="B217" i="1"/>
  <c r="C217" i="1"/>
  <c r="D217" i="1"/>
  <c r="E217" i="1"/>
  <c r="F217" i="1"/>
  <c r="H217" i="1"/>
  <c r="I217" i="1"/>
  <c r="J217" i="1"/>
  <c r="K217" i="1"/>
  <c r="L217" i="1"/>
  <c r="M217" i="1"/>
  <c r="N217" i="1"/>
  <c r="O217" i="1"/>
  <c r="S217" i="1"/>
  <c r="T217" i="1"/>
  <c r="U217" i="1"/>
  <c r="W217" i="1"/>
  <c r="Y217" i="1"/>
  <c r="Z217" i="1"/>
  <c r="AA217" i="1"/>
  <c r="AC217" i="1"/>
  <c r="AE217" i="1"/>
  <c r="AF217" i="1"/>
  <c r="AG217" i="1"/>
  <c r="AK217" i="1"/>
  <c r="AS217" i="1"/>
  <c r="AT217" i="1"/>
  <c r="B218" i="1"/>
  <c r="C218" i="1"/>
  <c r="D218" i="1"/>
  <c r="E218" i="1"/>
  <c r="F218" i="1"/>
  <c r="H218" i="1"/>
  <c r="I218" i="1"/>
  <c r="J218" i="1"/>
  <c r="K218" i="1"/>
  <c r="L218" i="1"/>
  <c r="M218" i="1"/>
  <c r="N218" i="1"/>
  <c r="O218" i="1"/>
  <c r="W218" i="1"/>
  <c r="Y218" i="1"/>
  <c r="Z218" i="1"/>
  <c r="AA218" i="1"/>
  <c r="AC218" i="1"/>
  <c r="AE218" i="1"/>
  <c r="AF218" i="1"/>
  <c r="AG218" i="1"/>
  <c r="AK218" i="1"/>
  <c r="AS218" i="1"/>
  <c r="AT218" i="1"/>
  <c r="B219" i="1"/>
  <c r="C219" i="1"/>
  <c r="D219" i="1"/>
  <c r="E219" i="1"/>
  <c r="F219" i="1"/>
  <c r="G219" i="1"/>
  <c r="H219" i="1"/>
  <c r="I219" i="1"/>
  <c r="J219" i="1"/>
  <c r="K219" i="1"/>
  <c r="L219" i="1"/>
  <c r="M219" i="1"/>
  <c r="N219" i="1"/>
  <c r="O219" i="1"/>
  <c r="W219" i="1"/>
  <c r="Y219" i="1"/>
  <c r="Z219" i="1"/>
  <c r="AA219" i="1"/>
  <c r="AC219" i="1"/>
  <c r="AE219" i="1"/>
  <c r="AF219" i="1"/>
  <c r="AG219" i="1"/>
  <c r="AK219" i="1"/>
  <c r="AS219" i="1"/>
  <c r="AT219" i="1"/>
  <c r="B220" i="1"/>
  <c r="C220" i="1"/>
  <c r="D220" i="1"/>
  <c r="E220" i="1"/>
  <c r="F220" i="1"/>
  <c r="H220" i="1"/>
  <c r="I220" i="1"/>
  <c r="J220" i="1"/>
  <c r="K220" i="1"/>
  <c r="L220" i="1"/>
  <c r="M220" i="1"/>
  <c r="N220" i="1"/>
  <c r="O220" i="1"/>
  <c r="W220" i="1"/>
  <c r="Y220" i="1"/>
  <c r="Z220" i="1"/>
  <c r="AA220" i="1"/>
  <c r="AC220" i="1"/>
  <c r="AE220" i="1"/>
  <c r="AF220" i="1"/>
  <c r="AG220" i="1"/>
  <c r="AK220" i="1"/>
  <c r="AS220" i="1"/>
  <c r="AT220" i="1"/>
  <c r="B221" i="1"/>
  <c r="C221" i="1"/>
  <c r="D221" i="1"/>
  <c r="E221" i="1"/>
  <c r="F221" i="1"/>
  <c r="H221" i="1"/>
  <c r="I221" i="1"/>
  <c r="J221" i="1"/>
  <c r="K221" i="1"/>
  <c r="L221" i="1"/>
  <c r="M221" i="1"/>
  <c r="N221" i="1"/>
  <c r="O221" i="1"/>
  <c r="W221" i="1"/>
  <c r="Y221" i="1"/>
  <c r="Z221" i="1"/>
  <c r="AA221" i="1"/>
  <c r="AC221" i="1"/>
  <c r="AE221" i="1"/>
  <c r="AF221" i="1"/>
  <c r="AG221" i="1"/>
  <c r="AK221" i="1"/>
  <c r="AS221" i="1"/>
  <c r="AT221" i="1"/>
  <c r="B222" i="1"/>
  <c r="C222" i="1"/>
  <c r="D222" i="1"/>
  <c r="E222" i="1"/>
  <c r="F222" i="1"/>
  <c r="H222" i="1"/>
  <c r="I222" i="1"/>
  <c r="J222" i="1"/>
  <c r="K222" i="1"/>
  <c r="L222" i="1"/>
  <c r="M222" i="1"/>
  <c r="N222" i="1"/>
  <c r="O222" i="1"/>
  <c r="W222" i="1"/>
  <c r="Y222" i="1"/>
  <c r="Z222" i="1"/>
  <c r="AA222" i="1"/>
  <c r="AC222" i="1"/>
  <c r="AE222" i="1"/>
  <c r="AF222" i="1"/>
  <c r="AG222" i="1"/>
  <c r="AK222" i="1"/>
  <c r="AS222" i="1"/>
  <c r="AT222" i="1"/>
  <c r="B223" i="1"/>
  <c r="C223" i="1"/>
  <c r="D223" i="1"/>
  <c r="E223" i="1"/>
  <c r="F223" i="1"/>
  <c r="G223" i="1"/>
  <c r="H223" i="1"/>
  <c r="I223" i="1"/>
  <c r="J223" i="1"/>
  <c r="K223" i="1"/>
  <c r="L223" i="1"/>
  <c r="M223" i="1"/>
  <c r="N223" i="1"/>
  <c r="O223" i="1"/>
  <c r="S223" i="1"/>
  <c r="T223" i="1"/>
  <c r="U223" i="1"/>
  <c r="W223" i="1"/>
  <c r="Y223" i="1"/>
  <c r="Z223" i="1"/>
  <c r="AA223" i="1"/>
  <c r="AC223" i="1"/>
  <c r="AE223" i="1"/>
  <c r="AF223" i="1"/>
  <c r="AG223" i="1"/>
  <c r="AK223" i="1"/>
  <c r="AS223" i="1"/>
  <c r="AT223" i="1"/>
  <c r="B224" i="1"/>
  <c r="C224" i="1"/>
  <c r="D224" i="1"/>
  <c r="E224" i="1"/>
  <c r="F224" i="1"/>
  <c r="H224" i="1"/>
  <c r="I224" i="1"/>
  <c r="J224" i="1"/>
  <c r="K224" i="1"/>
  <c r="L224" i="1"/>
  <c r="M224" i="1"/>
  <c r="N224" i="1"/>
  <c r="O224" i="1"/>
  <c r="W224" i="1"/>
  <c r="Y224" i="1"/>
  <c r="Z224" i="1"/>
  <c r="AA224" i="1"/>
  <c r="AC224" i="1"/>
  <c r="AE224" i="1"/>
  <c r="AF224" i="1"/>
  <c r="AG224" i="1"/>
  <c r="AK224" i="1"/>
  <c r="AS224" i="1"/>
  <c r="AT224" i="1"/>
  <c r="B225" i="1"/>
  <c r="C225" i="1"/>
  <c r="D225" i="1"/>
  <c r="E225" i="1"/>
  <c r="F225" i="1"/>
  <c r="H225" i="1"/>
  <c r="I225" i="1"/>
  <c r="J225" i="1"/>
  <c r="K225" i="1"/>
  <c r="L225" i="1"/>
  <c r="M225" i="1"/>
  <c r="N225" i="1"/>
  <c r="O225" i="1"/>
  <c r="W225" i="1"/>
  <c r="Y225" i="1"/>
  <c r="Z225" i="1"/>
  <c r="AA225" i="1"/>
  <c r="AC225" i="1"/>
  <c r="AE225" i="1"/>
  <c r="AF225" i="1"/>
  <c r="AG225" i="1"/>
  <c r="AK225" i="1"/>
  <c r="AS225" i="1"/>
  <c r="AT225" i="1"/>
  <c r="B226" i="1"/>
  <c r="C226" i="1"/>
  <c r="D226" i="1"/>
  <c r="E226" i="1"/>
  <c r="F226" i="1"/>
  <c r="H226" i="1"/>
  <c r="I226" i="1"/>
  <c r="J226" i="1"/>
  <c r="K226" i="1"/>
  <c r="L226" i="1"/>
  <c r="M226" i="1"/>
  <c r="N226" i="1"/>
  <c r="O226" i="1"/>
  <c r="W226" i="1"/>
  <c r="Y226" i="1"/>
  <c r="Z226" i="1"/>
  <c r="AA226" i="1"/>
  <c r="AC226" i="1"/>
  <c r="AE226" i="1"/>
  <c r="AF226" i="1"/>
  <c r="AG226" i="1"/>
  <c r="AK226" i="1"/>
  <c r="AS226" i="1"/>
  <c r="AT226" i="1"/>
  <c r="B227" i="1"/>
  <c r="C227" i="1"/>
  <c r="D227" i="1"/>
  <c r="E227" i="1"/>
  <c r="F227" i="1"/>
  <c r="G227" i="1"/>
  <c r="H227" i="1"/>
  <c r="I227" i="1"/>
  <c r="J227" i="1"/>
  <c r="K227" i="1"/>
  <c r="L227" i="1"/>
  <c r="M227" i="1"/>
  <c r="N227" i="1"/>
  <c r="O227" i="1"/>
  <c r="W227" i="1"/>
  <c r="Y227" i="1"/>
  <c r="Z227" i="1"/>
  <c r="AA227" i="1"/>
  <c r="AC227" i="1"/>
  <c r="AE227" i="1"/>
  <c r="AF227" i="1"/>
  <c r="AG227" i="1"/>
  <c r="AK227" i="1"/>
  <c r="AS227" i="1"/>
  <c r="AT227" i="1"/>
  <c r="B228" i="1"/>
  <c r="C228" i="1"/>
  <c r="D228" i="1"/>
  <c r="E228" i="1"/>
  <c r="F228" i="1"/>
  <c r="H228" i="1"/>
  <c r="I228" i="1"/>
  <c r="J228" i="1"/>
  <c r="K228" i="1"/>
  <c r="L228" i="1"/>
  <c r="M228" i="1"/>
  <c r="N228" i="1"/>
  <c r="O228" i="1"/>
  <c r="W228" i="1"/>
  <c r="Y228" i="1"/>
  <c r="Z228" i="1"/>
  <c r="AA228" i="1"/>
  <c r="AC228" i="1"/>
  <c r="AE228" i="1"/>
  <c r="AF228" i="1"/>
  <c r="AG228" i="1"/>
  <c r="AK228" i="1"/>
  <c r="AS228" i="1"/>
  <c r="AT228" i="1"/>
  <c r="B229" i="1"/>
  <c r="C229" i="1"/>
  <c r="D229" i="1"/>
  <c r="E229" i="1"/>
  <c r="F229" i="1"/>
  <c r="H229" i="1"/>
  <c r="I229" i="1"/>
  <c r="J229" i="1"/>
  <c r="K229" i="1"/>
  <c r="L229" i="1"/>
  <c r="M229" i="1"/>
  <c r="N229" i="1"/>
  <c r="O229" i="1"/>
  <c r="W229" i="1"/>
  <c r="Y229" i="1"/>
  <c r="Z229" i="1"/>
  <c r="AA229" i="1"/>
  <c r="AC229" i="1"/>
  <c r="AE229" i="1"/>
  <c r="AF229" i="1"/>
  <c r="AG229" i="1"/>
  <c r="AK229" i="1"/>
  <c r="AS229" i="1"/>
  <c r="AT229" i="1"/>
  <c r="B230" i="1"/>
  <c r="C230" i="1"/>
  <c r="D230" i="1"/>
  <c r="E230" i="1"/>
  <c r="F230" i="1"/>
  <c r="H230" i="1"/>
  <c r="I230" i="1"/>
  <c r="J230" i="1"/>
  <c r="K230" i="1"/>
  <c r="L230" i="1"/>
  <c r="M230" i="1"/>
  <c r="N230" i="1"/>
  <c r="O230" i="1"/>
  <c r="W230" i="1"/>
  <c r="Y230" i="1"/>
  <c r="Z230" i="1"/>
  <c r="AA230" i="1"/>
  <c r="AC230" i="1"/>
  <c r="AE230" i="1"/>
  <c r="AF230" i="1"/>
  <c r="AG230" i="1"/>
  <c r="AK230" i="1"/>
  <c r="AS230" i="1"/>
  <c r="AT230" i="1"/>
  <c r="B231" i="1"/>
  <c r="C231" i="1"/>
  <c r="D231" i="1"/>
  <c r="E231" i="1"/>
  <c r="F231" i="1"/>
  <c r="H231" i="1"/>
  <c r="I231" i="1"/>
  <c r="J231" i="1"/>
  <c r="K231" i="1"/>
  <c r="L231" i="1"/>
  <c r="M231" i="1"/>
  <c r="N231" i="1"/>
  <c r="O231" i="1"/>
  <c r="S231" i="1"/>
  <c r="T231" i="1"/>
  <c r="U231" i="1"/>
  <c r="W231" i="1"/>
  <c r="Y231" i="1"/>
  <c r="Z231" i="1"/>
  <c r="AA231" i="1"/>
  <c r="AC231" i="1"/>
  <c r="AE231" i="1"/>
  <c r="AF231" i="1"/>
  <c r="AG231" i="1"/>
  <c r="AK231" i="1"/>
  <c r="AS231" i="1"/>
  <c r="AT231" i="1"/>
  <c r="B232" i="1"/>
  <c r="C232" i="1"/>
  <c r="D232" i="1"/>
  <c r="E232" i="1"/>
  <c r="F232" i="1"/>
  <c r="G232" i="1"/>
  <c r="H232" i="1"/>
  <c r="I232" i="1"/>
  <c r="J232" i="1"/>
  <c r="K232" i="1"/>
  <c r="L232" i="1"/>
  <c r="M232" i="1"/>
  <c r="N232" i="1"/>
  <c r="O232" i="1"/>
  <c r="S232" i="1"/>
  <c r="T232" i="1"/>
  <c r="U232" i="1"/>
  <c r="W232" i="1"/>
  <c r="Y232" i="1"/>
  <c r="Z232" i="1"/>
  <c r="AA232" i="1"/>
  <c r="AC232" i="1"/>
  <c r="AE232" i="1"/>
  <c r="AF232" i="1"/>
  <c r="AG232" i="1"/>
  <c r="AK232" i="1"/>
  <c r="AS232" i="1"/>
  <c r="AT232" i="1"/>
  <c r="B233" i="1"/>
  <c r="C233" i="1"/>
  <c r="D233" i="1"/>
  <c r="E233" i="1"/>
  <c r="F233" i="1"/>
  <c r="H233" i="1"/>
  <c r="I233" i="1"/>
  <c r="J233" i="1"/>
  <c r="K233" i="1"/>
  <c r="L233" i="1"/>
  <c r="M233" i="1"/>
  <c r="N233" i="1"/>
  <c r="O233" i="1"/>
  <c r="W233" i="1"/>
  <c r="Y233" i="1"/>
  <c r="Z233" i="1"/>
  <c r="AA233" i="1"/>
  <c r="AC233" i="1"/>
  <c r="AE233" i="1"/>
  <c r="AF233" i="1"/>
  <c r="AG233" i="1"/>
  <c r="AK233" i="1"/>
  <c r="AS233" i="1"/>
  <c r="AT233" i="1"/>
  <c r="B234" i="1"/>
  <c r="C234" i="1"/>
  <c r="D234" i="1"/>
  <c r="E234" i="1"/>
  <c r="F234" i="1"/>
  <c r="H234" i="1"/>
  <c r="I234" i="1"/>
  <c r="J234" i="1"/>
  <c r="K234" i="1"/>
  <c r="L234" i="1"/>
  <c r="M234" i="1"/>
  <c r="N234" i="1"/>
  <c r="O234" i="1"/>
  <c r="W234" i="1"/>
  <c r="Y234" i="1"/>
  <c r="Z234" i="1"/>
  <c r="AA234" i="1"/>
  <c r="AC234" i="1"/>
  <c r="AE234" i="1"/>
  <c r="AF234" i="1"/>
  <c r="AG234" i="1"/>
  <c r="AK234" i="1"/>
  <c r="AS234" i="1"/>
  <c r="AT234" i="1"/>
  <c r="B235" i="1"/>
  <c r="C235" i="1"/>
  <c r="D235" i="1"/>
  <c r="E235" i="1"/>
  <c r="F235" i="1"/>
  <c r="H235" i="1"/>
  <c r="I235" i="1"/>
  <c r="J235" i="1"/>
  <c r="K235" i="1"/>
  <c r="L235" i="1"/>
  <c r="M235" i="1"/>
  <c r="N235" i="1"/>
  <c r="O235" i="1"/>
  <c r="W235" i="1"/>
  <c r="Y235" i="1"/>
  <c r="Z235" i="1"/>
  <c r="AA235" i="1"/>
  <c r="AC235" i="1"/>
  <c r="AE235" i="1"/>
  <c r="AF235" i="1"/>
  <c r="AG235" i="1"/>
  <c r="AK235" i="1"/>
  <c r="AS235" i="1"/>
  <c r="AT235" i="1"/>
  <c r="B236" i="1"/>
  <c r="C236" i="1"/>
  <c r="D236" i="1"/>
  <c r="E236" i="1"/>
  <c r="F236" i="1"/>
  <c r="G236" i="1"/>
  <c r="H236" i="1"/>
  <c r="I236" i="1"/>
  <c r="J236" i="1"/>
  <c r="K236" i="1"/>
  <c r="L236" i="1"/>
  <c r="M236" i="1"/>
  <c r="N236" i="1"/>
  <c r="O236" i="1"/>
  <c r="W236" i="1"/>
  <c r="Y236" i="1"/>
  <c r="Z236" i="1"/>
  <c r="AA236" i="1"/>
  <c r="AC236" i="1"/>
  <c r="AE236" i="1"/>
  <c r="AF236" i="1"/>
  <c r="AG236" i="1"/>
  <c r="AK236" i="1"/>
  <c r="AS236" i="1"/>
  <c r="AT236" i="1"/>
  <c r="B237" i="1"/>
  <c r="C237" i="1"/>
  <c r="D237" i="1"/>
  <c r="E237" i="1"/>
  <c r="F237" i="1"/>
  <c r="H237" i="1"/>
  <c r="I237" i="1"/>
  <c r="J237" i="1"/>
  <c r="K237" i="1"/>
  <c r="L237" i="1"/>
  <c r="M237" i="1"/>
  <c r="N237" i="1"/>
  <c r="O237" i="1"/>
  <c r="W237" i="1"/>
  <c r="Y237" i="1"/>
  <c r="Z237" i="1"/>
  <c r="AA237" i="1"/>
  <c r="AC237" i="1"/>
  <c r="AE237" i="1"/>
  <c r="AF237" i="1"/>
  <c r="AG237" i="1"/>
  <c r="AK237" i="1"/>
  <c r="AS237" i="1"/>
  <c r="AT237" i="1"/>
  <c r="B238" i="1"/>
  <c r="C238" i="1"/>
  <c r="D238" i="1"/>
  <c r="E238" i="1"/>
  <c r="F238" i="1"/>
  <c r="H238" i="1"/>
  <c r="I238" i="1"/>
  <c r="J238" i="1"/>
  <c r="K238" i="1"/>
  <c r="L238" i="1"/>
  <c r="M238" i="1"/>
  <c r="N238" i="1"/>
  <c r="O238" i="1"/>
  <c r="W238" i="1"/>
  <c r="Y238" i="1"/>
  <c r="Z238" i="1"/>
  <c r="AA238" i="1"/>
  <c r="AC238" i="1"/>
  <c r="AE238" i="1"/>
  <c r="AF238" i="1"/>
  <c r="AG238" i="1"/>
  <c r="AK238" i="1"/>
  <c r="AS238" i="1"/>
  <c r="AT238" i="1"/>
  <c r="B239" i="1"/>
  <c r="C239" i="1"/>
  <c r="D239" i="1"/>
  <c r="E239" i="1"/>
  <c r="F239" i="1"/>
  <c r="H239" i="1"/>
  <c r="I239" i="1"/>
  <c r="J239" i="1"/>
  <c r="K239" i="1"/>
  <c r="L239" i="1"/>
  <c r="M239" i="1"/>
  <c r="N239" i="1"/>
  <c r="O239" i="1"/>
  <c r="W239" i="1"/>
  <c r="Y239" i="1"/>
  <c r="Z239" i="1"/>
  <c r="AA239" i="1"/>
  <c r="AC239" i="1"/>
  <c r="AE239" i="1"/>
  <c r="AF239" i="1"/>
  <c r="AG239" i="1"/>
  <c r="AK239" i="1"/>
  <c r="AS239" i="1"/>
  <c r="AT239" i="1"/>
  <c r="B240" i="1"/>
  <c r="C240" i="1"/>
  <c r="D240" i="1"/>
  <c r="E240" i="1"/>
  <c r="F240" i="1"/>
  <c r="G240" i="1"/>
  <c r="H240" i="1"/>
  <c r="I240" i="1"/>
  <c r="J240" i="1"/>
  <c r="K240" i="1"/>
  <c r="L240" i="1"/>
  <c r="M240" i="1"/>
  <c r="N240" i="1"/>
  <c r="O240" i="1"/>
  <c r="W240" i="1"/>
  <c r="Y240" i="1"/>
  <c r="Z240" i="1"/>
  <c r="AA240" i="1"/>
  <c r="AC240" i="1"/>
  <c r="AE240" i="1"/>
  <c r="AF240" i="1"/>
  <c r="AG240" i="1"/>
  <c r="AK240" i="1"/>
  <c r="AS240" i="1"/>
  <c r="AT240" i="1"/>
  <c r="B241" i="1"/>
  <c r="C241" i="1"/>
  <c r="D241" i="1"/>
  <c r="E241" i="1"/>
  <c r="F241" i="1"/>
  <c r="G241" i="1"/>
  <c r="H241" i="1"/>
  <c r="I241" i="1"/>
  <c r="J241" i="1"/>
  <c r="K241" i="1"/>
  <c r="L241" i="1"/>
  <c r="M241" i="1"/>
  <c r="N241" i="1"/>
  <c r="O241" i="1"/>
  <c r="W241" i="1"/>
  <c r="Y241" i="1"/>
  <c r="Z241" i="1"/>
  <c r="AA241" i="1"/>
  <c r="AC241" i="1"/>
  <c r="AE241" i="1"/>
  <c r="AF241" i="1"/>
  <c r="AG241" i="1"/>
  <c r="AK241" i="1"/>
  <c r="AS241" i="1"/>
  <c r="AT241" i="1"/>
  <c r="B242" i="1"/>
  <c r="C242" i="1"/>
  <c r="D242" i="1"/>
  <c r="E242" i="1"/>
  <c r="F242" i="1"/>
  <c r="H242" i="1"/>
  <c r="I242" i="1"/>
  <c r="J242" i="1"/>
  <c r="K242" i="1"/>
  <c r="L242" i="1"/>
  <c r="M242" i="1"/>
  <c r="N242" i="1"/>
  <c r="O242" i="1"/>
  <c r="W242" i="1"/>
  <c r="Y242" i="1"/>
  <c r="Z242" i="1"/>
  <c r="AA242" i="1"/>
  <c r="AC242" i="1"/>
  <c r="AE242" i="1"/>
  <c r="AF242" i="1"/>
  <c r="AG242" i="1"/>
  <c r="AK242" i="1"/>
  <c r="AS242" i="1"/>
  <c r="AT242" i="1"/>
  <c r="B243" i="1"/>
  <c r="C243" i="1"/>
  <c r="D243" i="1"/>
  <c r="E243" i="1"/>
  <c r="F243" i="1"/>
  <c r="H243" i="1"/>
  <c r="I243" i="1"/>
  <c r="J243" i="1"/>
  <c r="K243" i="1"/>
  <c r="L243" i="1"/>
  <c r="M243" i="1"/>
  <c r="N243" i="1"/>
  <c r="O243" i="1"/>
  <c r="Q243" i="1"/>
  <c r="S243" i="1"/>
  <c r="U243" i="1"/>
  <c r="W243" i="1"/>
  <c r="Y243" i="1"/>
  <c r="Z243" i="1"/>
  <c r="AA243" i="1"/>
  <c r="AC243" i="1"/>
  <c r="AE243" i="1"/>
  <c r="AF243" i="1"/>
  <c r="AG243" i="1"/>
  <c r="AK243" i="1"/>
  <c r="AS243" i="1"/>
  <c r="AT243" i="1"/>
  <c r="B244" i="1"/>
  <c r="C244" i="1"/>
  <c r="D244" i="1"/>
  <c r="E244" i="1"/>
  <c r="F244" i="1"/>
  <c r="G244" i="1"/>
  <c r="H244" i="1"/>
  <c r="I244" i="1"/>
  <c r="J244" i="1"/>
  <c r="K244" i="1"/>
  <c r="L244" i="1"/>
  <c r="M244" i="1"/>
  <c r="N244" i="1"/>
  <c r="O244" i="1"/>
  <c r="W244" i="1"/>
  <c r="Y244" i="1"/>
  <c r="Z244" i="1"/>
  <c r="AA244" i="1"/>
  <c r="AC244" i="1"/>
  <c r="AE244" i="1"/>
  <c r="AF244" i="1"/>
  <c r="AG244" i="1"/>
  <c r="AK244" i="1"/>
  <c r="AS244" i="1"/>
  <c r="AT244" i="1"/>
  <c r="B245" i="1"/>
  <c r="C245" i="1"/>
  <c r="D245" i="1"/>
  <c r="E245" i="1"/>
  <c r="F245" i="1"/>
  <c r="H245" i="1"/>
  <c r="I245" i="1"/>
  <c r="J245" i="1"/>
  <c r="K245" i="1"/>
  <c r="L245" i="1"/>
  <c r="M245" i="1"/>
  <c r="N245" i="1"/>
  <c r="O245" i="1"/>
  <c r="W245" i="1"/>
  <c r="Y245" i="1"/>
  <c r="Z245" i="1"/>
  <c r="AA245" i="1"/>
  <c r="AC245" i="1"/>
  <c r="AE245" i="1"/>
  <c r="AF245" i="1"/>
  <c r="AG245" i="1"/>
  <c r="AK245" i="1"/>
  <c r="AS245" i="1"/>
  <c r="AT245" i="1"/>
  <c r="B246" i="1"/>
  <c r="C246" i="1"/>
  <c r="D246" i="1"/>
  <c r="E246" i="1"/>
  <c r="F246" i="1"/>
  <c r="H246" i="1"/>
  <c r="I246" i="1"/>
  <c r="J246" i="1"/>
  <c r="K246" i="1"/>
  <c r="L246" i="1"/>
  <c r="M246" i="1"/>
  <c r="N246" i="1"/>
  <c r="O246" i="1"/>
  <c r="W246" i="1"/>
  <c r="Y246" i="1"/>
  <c r="Z246" i="1"/>
  <c r="AA246" i="1"/>
  <c r="AC246" i="1"/>
  <c r="AE246" i="1"/>
  <c r="AF246" i="1"/>
  <c r="AG246" i="1"/>
  <c r="AK246" i="1"/>
  <c r="AS246" i="1"/>
  <c r="AT246" i="1"/>
  <c r="B247" i="1"/>
  <c r="C247" i="1"/>
  <c r="D247" i="1"/>
  <c r="E247" i="1"/>
  <c r="F247" i="1"/>
  <c r="H247" i="1"/>
  <c r="I247" i="1"/>
  <c r="J247" i="1"/>
  <c r="K247" i="1"/>
  <c r="L247" i="1"/>
  <c r="M247" i="1"/>
  <c r="N247" i="1"/>
  <c r="O247" i="1"/>
  <c r="W247" i="1"/>
  <c r="Y247" i="1"/>
  <c r="Z247" i="1"/>
  <c r="AA247" i="1"/>
  <c r="AC247" i="1"/>
  <c r="AE247" i="1"/>
  <c r="AF247" i="1"/>
  <c r="AG247" i="1"/>
  <c r="AK247" i="1"/>
  <c r="AS247" i="1"/>
  <c r="AT247" i="1"/>
  <c r="B248" i="1"/>
  <c r="C248" i="1"/>
  <c r="D248" i="1"/>
  <c r="E248" i="1"/>
  <c r="F248" i="1"/>
  <c r="H248" i="1"/>
  <c r="I248" i="1"/>
  <c r="J248" i="1"/>
  <c r="K248" i="1"/>
  <c r="L248" i="1"/>
  <c r="M248" i="1"/>
  <c r="N248" i="1"/>
  <c r="O248" i="1"/>
  <c r="W248" i="1"/>
  <c r="Y248" i="1"/>
  <c r="Z248" i="1"/>
  <c r="AA248" i="1"/>
  <c r="AC248" i="1"/>
  <c r="AE248" i="1"/>
  <c r="AF248" i="1"/>
  <c r="AG248" i="1"/>
  <c r="AK248" i="1"/>
  <c r="AS248" i="1"/>
  <c r="AT248" i="1"/>
  <c r="B249" i="1"/>
  <c r="C249" i="1"/>
  <c r="D249" i="1"/>
  <c r="E249" i="1"/>
  <c r="F249" i="1"/>
  <c r="H249" i="1"/>
  <c r="I249" i="1"/>
  <c r="J249" i="1"/>
  <c r="K249" i="1"/>
  <c r="L249" i="1"/>
  <c r="M249" i="1"/>
  <c r="N249" i="1"/>
  <c r="O249" i="1"/>
  <c r="S249" i="1"/>
  <c r="T249" i="1"/>
  <c r="U249" i="1"/>
  <c r="W249" i="1"/>
  <c r="Y249" i="1"/>
  <c r="Z249" i="1"/>
  <c r="AA249" i="1"/>
  <c r="AC249" i="1"/>
  <c r="AE249" i="1"/>
  <c r="AF249" i="1"/>
  <c r="AG249" i="1"/>
  <c r="AK249" i="1"/>
  <c r="AS249" i="1"/>
  <c r="AT249" i="1"/>
  <c r="B250" i="1"/>
  <c r="C250" i="1"/>
  <c r="D250" i="1"/>
  <c r="E250" i="1"/>
  <c r="F250" i="1"/>
  <c r="G250" i="1"/>
  <c r="H250" i="1"/>
  <c r="I250" i="1"/>
  <c r="J250" i="1"/>
  <c r="K250" i="1"/>
  <c r="L250" i="1"/>
  <c r="M250" i="1"/>
  <c r="N250" i="1"/>
  <c r="O250" i="1"/>
  <c r="W250" i="1"/>
  <c r="Y250" i="1"/>
  <c r="Z250" i="1"/>
  <c r="AA250" i="1"/>
  <c r="AC250" i="1"/>
  <c r="AE250" i="1"/>
  <c r="AF250" i="1"/>
  <c r="AG250" i="1"/>
  <c r="AK250" i="1"/>
  <c r="AS250" i="1"/>
  <c r="AT250" i="1"/>
  <c r="B251" i="1"/>
  <c r="C251" i="1"/>
  <c r="D251" i="1"/>
  <c r="E251" i="1"/>
  <c r="F251" i="1"/>
  <c r="G251" i="1"/>
  <c r="H251" i="1"/>
  <c r="I251" i="1"/>
  <c r="J251" i="1"/>
  <c r="K251" i="1"/>
  <c r="L251" i="1"/>
  <c r="M251" i="1"/>
  <c r="N251" i="1"/>
  <c r="O251" i="1"/>
  <c r="W251" i="1"/>
  <c r="Y251" i="1"/>
  <c r="Z251" i="1"/>
  <c r="AA251" i="1"/>
  <c r="AC251" i="1"/>
  <c r="AE251" i="1"/>
  <c r="AF251" i="1"/>
  <c r="AG251" i="1"/>
  <c r="AK251" i="1"/>
  <c r="AS251" i="1"/>
  <c r="AT251" i="1"/>
  <c r="B252" i="1"/>
  <c r="C252" i="1"/>
  <c r="D252" i="1"/>
  <c r="E252" i="1"/>
  <c r="F252" i="1"/>
  <c r="H252" i="1"/>
  <c r="I252" i="1"/>
  <c r="J252" i="1"/>
  <c r="K252" i="1"/>
  <c r="L252" i="1"/>
  <c r="M252" i="1"/>
  <c r="N252" i="1"/>
  <c r="O252" i="1"/>
  <c r="W252" i="1"/>
  <c r="Y252" i="1"/>
  <c r="Z252" i="1"/>
  <c r="AA252" i="1"/>
  <c r="AC252" i="1"/>
  <c r="AE252" i="1"/>
  <c r="AF252" i="1"/>
  <c r="AG252" i="1"/>
  <c r="AK252" i="1"/>
  <c r="AS252" i="1"/>
  <c r="AT252" i="1"/>
  <c r="B253" i="1"/>
  <c r="C253" i="1"/>
  <c r="D253" i="1"/>
  <c r="E253" i="1"/>
  <c r="F253" i="1"/>
  <c r="H253" i="1"/>
  <c r="I253" i="1"/>
  <c r="J253" i="1"/>
  <c r="K253" i="1"/>
  <c r="L253" i="1"/>
  <c r="M253" i="1"/>
  <c r="N253" i="1"/>
  <c r="O253" i="1"/>
  <c r="W253" i="1"/>
  <c r="Y253" i="1"/>
  <c r="Z253" i="1"/>
  <c r="AA253" i="1"/>
  <c r="AC253" i="1"/>
  <c r="AE253" i="1"/>
  <c r="AF253" i="1"/>
  <c r="AG253" i="1"/>
  <c r="AK253" i="1"/>
  <c r="AS253" i="1"/>
  <c r="AT253" i="1"/>
  <c r="B254" i="1"/>
  <c r="C254" i="1"/>
  <c r="D254" i="1"/>
  <c r="E254" i="1"/>
  <c r="F254" i="1"/>
  <c r="H254" i="1"/>
  <c r="I254" i="1"/>
  <c r="J254" i="1"/>
  <c r="K254" i="1"/>
  <c r="L254" i="1"/>
  <c r="M254" i="1"/>
  <c r="N254" i="1"/>
  <c r="O254" i="1"/>
  <c r="W254" i="1"/>
  <c r="Y254" i="1"/>
  <c r="Z254" i="1"/>
  <c r="AA254" i="1"/>
  <c r="AC254" i="1"/>
  <c r="AE254" i="1"/>
  <c r="AF254" i="1"/>
  <c r="AG254" i="1"/>
  <c r="AK254" i="1"/>
  <c r="AS254" i="1"/>
  <c r="AT254" i="1"/>
  <c r="B255" i="1"/>
  <c r="C255" i="1"/>
  <c r="D255" i="1"/>
  <c r="E255" i="1"/>
  <c r="F255" i="1"/>
  <c r="G255" i="1"/>
  <c r="H255" i="1"/>
  <c r="I255" i="1"/>
  <c r="J255" i="1"/>
  <c r="K255" i="1"/>
  <c r="L255" i="1"/>
  <c r="M255" i="1"/>
  <c r="N255" i="1"/>
  <c r="O255" i="1"/>
  <c r="W255" i="1"/>
  <c r="Y255" i="1"/>
  <c r="Z255" i="1"/>
  <c r="AA255" i="1"/>
  <c r="AC255" i="1"/>
  <c r="AE255" i="1"/>
  <c r="AF255" i="1"/>
  <c r="AG255" i="1"/>
  <c r="AK255" i="1"/>
  <c r="AS255" i="1"/>
  <c r="AT255" i="1"/>
  <c r="B256" i="1"/>
  <c r="C256" i="1"/>
  <c r="D256" i="1"/>
  <c r="E256" i="1"/>
  <c r="F256" i="1"/>
  <c r="H256" i="1"/>
  <c r="I256" i="1"/>
  <c r="J256" i="1"/>
  <c r="K256" i="1"/>
  <c r="L256" i="1"/>
  <c r="M256" i="1"/>
  <c r="N256" i="1"/>
  <c r="O256" i="1"/>
  <c r="W256" i="1"/>
  <c r="Y256" i="1"/>
  <c r="Z256" i="1"/>
  <c r="AA256" i="1"/>
  <c r="AC256" i="1"/>
  <c r="AE256" i="1"/>
  <c r="AF256" i="1"/>
  <c r="AG256" i="1"/>
  <c r="AK256" i="1"/>
  <c r="AS256" i="1"/>
  <c r="AT256" i="1"/>
  <c r="B257" i="1"/>
  <c r="C257" i="1"/>
  <c r="D257" i="1"/>
  <c r="E257" i="1"/>
  <c r="F257" i="1"/>
  <c r="H257" i="1"/>
  <c r="I257" i="1"/>
  <c r="J257" i="1"/>
  <c r="K257" i="1"/>
  <c r="L257" i="1"/>
  <c r="M257" i="1"/>
  <c r="N257" i="1"/>
  <c r="O257" i="1"/>
  <c r="W257" i="1"/>
  <c r="Y257" i="1"/>
  <c r="Z257" i="1"/>
  <c r="AA257" i="1"/>
  <c r="AC257" i="1"/>
  <c r="AE257" i="1"/>
  <c r="AF257" i="1"/>
  <c r="AG257" i="1"/>
  <c r="AK257" i="1"/>
  <c r="AS257" i="1"/>
  <c r="AT257" i="1"/>
  <c r="B258" i="1"/>
  <c r="C258" i="1"/>
  <c r="D258" i="1"/>
  <c r="E258" i="1"/>
  <c r="F258" i="1"/>
  <c r="G258" i="1"/>
  <c r="H258" i="1"/>
  <c r="I258" i="1"/>
  <c r="J258" i="1"/>
  <c r="K258" i="1"/>
  <c r="L258" i="1"/>
  <c r="M258" i="1"/>
  <c r="N258" i="1"/>
  <c r="O258" i="1"/>
  <c r="W258" i="1"/>
  <c r="Y258" i="1"/>
  <c r="Z258" i="1"/>
  <c r="AA258" i="1"/>
  <c r="AC258" i="1"/>
  <c r="AE258" i="1"/>
  <c r="AF258" i="1"/>
  <c r="AG258" i="1"/>
  <c r="AK258" i="1"/>
  <c r="AS258" i="1"/>
  <c r="AT258" i="1"/>
  <c r="B259" i="1"/>
  <c r="C259" i="1"/>
  <c r="D259" i="1"/>
  <c r="E259" i="1"/>
  <c r="F259" i="1"/>
  <c r="G259" i="1"/>
  <c r="H259" i="1"/>
  <c r="I259" i="1"/>
  <c r="J259" i="1"/>
  <c r="K259" i="1"/>
  <c r="L259" i="1"/>
  <c r="M259" i="1"/>
  <c r="N259" i="1"/>
  <c r="O259" i="1"/>
  <c r="W259" i="1"/>
  <c r="Y259" i="1"/>
  <c r="Z259" i="1"/>
  <c r="AA259" i="1"/>
  <c r="AC259" i="1"/>
  <c r="AE259" i="1"/>
  <c r="AF259" i="1"/>
  <c r="AG259" i="1"/>
  <c r="AK259" i="1"/>
  <c r="AS259" i="1"/>
  <c r="AT259" i="1"/>
  <c r="B260" i="1"/>
  <c r="C260" i="1"/>
  <c r="D260" i="1"/>
  <c r="E260" i="1"/>
  <c r="F260" i="1"/>
  <c r="G260" i="1"/>
  <c r="H260" i="1"/>
  <c r="I260" i="1"/>
  <c r="J260" i="1"/>
  <c r="K260" i="1"/>
  <c r="L260" i="1"/>
  <c r="M260" i="1"/>
  <c r="N260" i="1"/>
  <c r="O260" i="1"/>
  <c r="W260" i="1"/>
  <c r="Y260" i="1"/>
  <c r="Z260" i="1"/>
  <c r="AA260" i="1"/>
  <c r="AC260" i="1"/>
  <c r="AE260" i="1"/>
  <c r="AF260" i="1"/>
  <c r="AG260" i="1"/>
  <c r="AK260" i="1"/>
  <c r="AS260" i="1"/>
  <c r="AT260" i="1"/>
  <c r="B261" i="1"/>
  <c r="C261" i="1"/>
  <c r="D261" i="1"/>
  <c r="E261" i="1"/>
  <c r="F261" i="1"/>
  <c r="H261" i="1"/>
  <c r="I261" i="1"/>
  <c r="J261" i="1"/>
  <c r="K261" i="1"/>
  <c r="L261" i="1"/>
  <c r="M261" i="1"/>
  <c r="N261" i="1"/>
  <c r="O261" i="1"/>
  <c r="W261" i="1"/>
  <c r="Y261" i="1"/>
  <c r="Z261" i="1"/>
  <c r="AA261" i="1"/>
  <c r="AC261" i="1"/>
  <c r="AE261" i="1"/>
  <c r="AF261" i="1"/>
  <c r="AG261" i="1"/>
  <c r="AK261" i="1"/>
  <c r="AS261" i="1"/>
  <c r="AT261" i="1"/>
  <c r="B262" i="1"/>
  <c r="C262" i="1"/>
  <c r="D262" i="1"/>
  <c r="E262" i="1"/>
  <c r="F262" i="1"/>
  <c r="G262" i="1"/>
  <c r="H262" i="1"/>
  <c r="I262" i="1"/>
  <c r="J262" i="1"/>
  <c r="K262" i="1"/>
  <c r="L262" i="1"/>
  <c r="M262" i="1"/>
  <c r="N262" i="1"/>
  <c r="O262" i="1"/>
  <c r="W262" i="1"/>
  <c r="Y262" i="1"/>
  <c r="Z262" i="1"/>
  <c r="AA262" i="1"/>
  <c r="AC262" i="1"/>
  <c r="AE262" i="1"/>
  <c r="AF262" i="1"/>
  <c r="AG262" i="1"/>
  <c r="AK262" i="1"/>
  <c r="AS262" i="1"/>
  <c r="AT262" i="1"/>
  <c r="B263" i="1"/>
  <c r="C263" i="1"/>
  <c r="D263" i="1"/>
  <c r="E263" i="1"/>
  <c r="F263" i="1"/>
  <c r="G263" i="1"/>
  <c r="H263" i="1"/>
  <c r="I263" i="1"/>
  <c r="J263" i="1"/>
  <c r="K263" i="1"/>
  <c r="L263" i="1"/>
  <c r="M263" i="1"/>
  <c r="N263" i="1"/>
  <c r="O263" i="1"/>
  <c r="W263" i="1"/>
  <c r="Y263" i="1"/>
  <c r="Z263" i="1"/>
  <c r="AA263" i="1"/>
  <c r="AC263" i="1"/>
  <c r="AE263" i="1"/>
  <c r="AF263" i="1"/>
  <c r="AG263" i="1"/>
  <c r="AK263" i="1"/>
  <c r="AS263" i="1"/>
  <c r="AT263" i="1"/>
  <c r="B264" i="1"/>
  <c r="C264" i="1"/>
  <c r="D264" i="1"/>
  <c r="E264" i="1"/>
  <c r="F264" i="1"/>
  <c r="H264" i="1"/>
  <c r="I264" i="1"/>
  <c r="J264" i="1"/>
  <c r="K264" i="1"/>
  <c r="L264" i="1"/>
  <c r="M264" i="1"/>
  <c r="N264" i="1"/>
  <c r="O264" i="1"/>
  <c r="W264" i="1"/>
  <c r="Y264" i="1"/>
  <c r="Z264" i="1"/>
  <c r="AA264" i="1"/>
  <c r="AC264" i="1"/>
  <c r="AE264" i="1"/>
  <c r="AF264" i="1"/>
  <c r="AG264" i="1"/>
  <c r="AK264" i="1"/>
  <c r="AS264" i="1"/>
  <c r="AT264" i="1"/>
  <c r="B265" i="1"/>
  <c r="C265" i="1"/>
  <c r="D265" i="1"/>
  <c r="E265" i="1"/>
  <c r="F265" i="1"/>
  <c r="H265" i="1"/>
  <c r="I265" i="1"/>
  <c r="J265" i="1"/>
  <c r="K265" i="1"/>
  <c r="L265" i="1"/>
  <c r="M265" i="1"/>
  <c r="N265" i="1"/>
  <c r="O265" i="1"/>
  <c r="S265" i="1"/>
  <c r="T265" i="1"/>
  <c r="U265" i="1"/>
  <c r="W265" i="1"/>
  <c r="Y265" i="1"/>
  <c r="Z265" i="1"/>
  <c r="AA265" i="1"/>
  <c r="AC265" i="1"/>
  <c r="AE265" i="1"/>
  <c r="AF265" i="1"/>
  <c r="AG265" i="1"/>
  <c r="AK265" i="1"/>
  <c r="AS265" i="1"/>
  <c r="AT265" i="1"/>
  <c r="B266" i="1"/>
  <c r="C266" i="1"/>
  <c r="D266" i="1"/>
  <c r="E266" i="1"/>
  <c r="F266" i="1"/>
  <c r="H266" i="1"/>
  <c r="I266" i="1"/>
  <c r="J266" i="1"/>
  <c r="K266" i="1"/>
  <c r="L266" i="1"/>
  <c r="M266" i="1"/>
  <c r="N266" i="1"/>
  <c r="O266" i="1"/>
  <c r="S266" i="1"/>
  <c r="T266" i="1"/>
  <c r="U266" i="1"/>
  <c r="W266" i="1"/>
  <c r="Y266" i="1"/>
  <c r="Z266" i="1"/>
  <c r="AA266" i="1"/>
  <c r="AC266" i="1"/>
  <c r="AE266" i="1"/>
  <c r="AF266" i="1"/>
  <c r="AG266" i="1"/>
  <c r="AK266" i="1"/>
  <c r="AS266" i="1"/>
  <c r="AT266" i="1"/>
  <c r="B267" i="1"/>
  <c r="C267" i="1"/>
  <c r="D267" i="1"/>
  <c r="E267" i="1"/>
  <c r="F267" i="1"/>
  <c r="H267" i="1"/>
  <c r="I267" i="1"/>
  <c r="J267" i="1"/>
  <c r="K267" i="1"/>
  <c r="L267" i="1"/>
  <c r="M267" i="1"/>
  <c r="N267" i="1"/>
  <c r="O267" i="1"/>
  <c r="W267" i="1"/>
  <c r="Y267" i="1"/>
  <c r="Z267" i="1"/>
  <c r="AA267" i="1"/>
  <c r="AC267" i="1"/>
  <c r="AE267" i="1"/>
  <c r="AF267" i="1"/>
  <c r="AG267" i="1"/>
  <c r="AK267" i="1"/>
  <c r="AS267" i="1"/>
  <c r="AT267" i="1"/>
  <c r="B268" i="1"/>
  <c r="C268" i="1"/>
  <c r="D268" i="1"/>
  <c r="E268" i="1"/>
  <c r="F268" i="1"/>
  <c r="H268" i="1"/>
  <c r="I268" i="1"/>
  <c r="J268" i="1"/>
  <c r="K268" i="1"/>
  <c r="L268" i="1"/>
  <c r="M268" i="1"/>
  <c r="N268" i="1"/>
  <c r="O268" i="1"/>
  <c r="W268" i="1"/>
  <c r="Y268" i="1"/>
  <c r="Z268" i="1"/>
  <c r="AA268" i="1"/>
  <c r="AC268" i="1"/>
  <c r="AE268" i="1"/>
  <c r="AF268" i="1"/>
  <c r="AG268" i="1"/>
  <c r="AK268" i="1"/>
  <c r="AS268" i="1"/>
  <c r="AT268" i="1"/>
  <c r="B269" i="1"/>
  <c r="C269" i="1"/>
  <c r="D269" i="1"/>
  <c r="E269" i="1"/>
  <c r="F269" i="1"/>
  <c r="H269" i="1"/>
  <c r="I269" i="1"/>
  <c r="J269" i="1"/>
  <c r="K269" i="1"/>
  <c r="L269" i="1"/>
  <c r="M269" i="1"/>
  <c r="N269" i="1"/>
  <c r="O269" i="1"/>
  <c r="W269" i="1"/>
  <c r="Y269" i="1"/>
  <c r="Z269" i="1"/>
  <c r="AA269" i="1"/>
  <c r="AC269" i="1"/>
  <c r="AE269" i="1"/>
  <c r="AF269" i="1"/>
  <c r="AG269" i="1"/>
  <c r="AK269" i="1"/>
  <c r="AS269" i="1"/>
  <c r="AT269" i="1"/>
  <c r="B270" i="1"/>
  <c r="C270" i="1"/>
  <c r="D270" i="1"/>
  <c r="E270" i="1"/>
  <c r="F270" i="1"/>
  <c r="G270" i="1"/>
  <c r="H270" i="1"/>
  <c r="I270" i="1"/>
  <c r="J270" i="1"/>
  <c r="K270" i="1"/>
  <c r="L270" i="1"/>
  <c r="M270" i="1"/>
  <c r="N270" i="1"/>
  <c r="O270" i="1"/>
  <c r="S270" i="1"/>
  <c r="U270" i="1"/>
  <c r="W270" i="1"/>
  <c r="Y270" i="1"/>
  <c r="Z270" i="1"/>
  <c r="AA270" i="1"/>
  <c r="AC270" i="1"/>
  <c r="AE270" i="1"/>
  <c r="AF270" i="1"/>
  <c r="AG270" i="1"/>
  <c r="AK270" i="1"/>
  <c r="AS270" i="1"/>
  <c r="AT270" i="1"/>
  <c r="B271" i="1"/>
  <c r="C271" i="1"/>
  <c r="D271" i="1"/>
  <c r="E271" i="1"/>
  <c r="F271" i="1"/>
  <c r="G271" i="1"/>
  <c r="H271" i="1"/>
  <c r="I271" i="1"/>
  <c r="J271" i="1"/>
  <c r="K271" i="1"/>
  <c r="L271" i="1"/>
  <c r="M271" i="1"/>
  <c r="N271" i="1"/>
  <c r="O271" i="1"/>
  <c r="W271" i="1"/>
  <c r="Y271" i="1"/>
  <c r="Z271" i="1"/>
  <c r="AA271" i="1"/>
  <c r="AC271" i="1"/>
  <c r="AE271" i="1"/>
  <c r="AF271" i="1"/>
  <c r="AG271" i="1"/>
  <c r="AK271" i="1"/>
  <c r="AS271" i="1"/>
  <c r="AT271" i="1"/>
  <c r="B272" i="1"/>
  <c r="C272" i="1"/>
  <c r="D272" i="1"/>
  <c r="E272" i="1"/>
  <c r="F272" i="1"/>
  <c r="H272" i="1"/>
  <c r="I272" i="1"/>
  <c r="J272" i="1"/>
  <c r="K272" i="1"/>
  <c r="L272" i="1"/>
  <c r="M272" i="1"/>
  <c r="N272" i="1"/>
  <c r="O272" i="1"/>
  <c r="W272" i="1"/>
  <c r="Y272" i="1"/>
  <c r="Z272" i="1"/>
  <c r="AA272" i="1"/>
  <c r="AC272" i="1"/>
  <c r="AE272" i="1"/>
  <c r="AF272" i="1"/>
  <c r="AG272" i="1"/>
  <c r="AK272" i="1"/>
  <c r="AS272" i="1"/>
  <c r="AT272" i="1"/>
  <c r="B273" i="1"/>
  <c r="C273" i="1"/>
  <c r="D273" i="1"/>
  <c r="E273" i="1"/>
  <c r="F273" i="1"/>
  <c r="H273" i="1"/>
  <c r="I273" i="1"/>
  <c r="J273" i="1"/>
  <c r="K273" i="1"/>
  <c r="L273" i="1"/>
  <c r="M273" i="1"/>
  <c r="N273" i="1"/>
  <c r="O273" i="1"/>
  <c r="W273" i="1"/>
  <c r="Y273" i="1"/>
  <c r="Z273" i="1"/>
  <c r="AA273" i="1"/>
  <c r="AC273" i="1"/>
  <c r="AE273" i="1"/>
  <c r="AF273" i="1"/>
  <c r="AG273" i="1"/>
  <c r="AK273" i="1"/>
  <c r="AS273" i="1"/>
  <c r="AT273" i="1"/>
  <c r="B274" i="1"/>
  <c r="C274" i="1"/>
  <c r="D274" i="1"/>
  <c r="E274" i="1"/>
  <c r="F274" i="1"/>
  <c r="G274" i="1"/>
  <c r="H274" i="1"/>
  <c r="I274" i="1"/>
  <c r="J274" i="1"/>
  <c r="K274" i="1"/>
  <c r="L274" i="1"/>
  <c r="M274" i="1"/>
  <c r="N274" i="1"/>
  <c r="O274" i="1"/>
  <c r="W274" i="1"/>
  <c r="Y274" i="1"/>
  <c r="Z274" i="1"/>
  <c r="AA274" i="1"/>
  <c r="AC274" i="1"/>
  <c r="AE274" i="1"/>
  <c r="AF274" i="1"/>
  <c r="AG274" i="1"/>
  <c r="AK274" i="1"/>
  <c r="AS274" i="1"/>
  <c r="AT274" i="1"/>
  <c r="B275" i="1"/>
  <c r="C275" i="1"/>
  <c r="D275" i="1"/>
  <c r="E275" i="1"/>
  <c r="F275" i="1"/>
  <c r="G275" i="1"/>
  <c r="H275" i="1"/>
  <c r="I275" i="1"/>
  <c r="J275" i="1"/>
  <c r="K275" i="1"/>
  <c r="L275" i="1"/>
  <c r="M275" i="1"/>
  <c r="N275" i="1"/>
  <c r="O275" i="1"/>
  <c r="W275" i="1"/>
  <c r="Y275" i="1"/>
  <c r="Z275" i="1"/>
  <c r="AA275" i="1"/>
  <c r="AC275" i="1"/>
  <c r="AE275" i="1"/>
  <c r="AF275" i="1"/>
  <c r="AG275" i="1"/>
  <c r="AK275" i="1"/>
  <c r="AS275" i="1"/>
  <c r="AT275" i="1"/>
  <c r="B276" i="1"/>
  <c r="C276" i="1"/>
  <c r="D276" i="1"/>
  <c r="E276" i="1"/>
  <c r="F276" i="1"/>
  <c r="G276" i="1"/>
  <c r="H276" i="1"/>
  <c r="I276" i="1"/>
  <c r="J276" i="1"/>
  <c r="K276" i="1"/>
  <c r="L276" i="1"/>
  <c r="M276" i="1"/>
  <c r="N276" i="1"/>
  <c r="O276" i="1"/>
  <c r="W276" i="1"/>
  <c r="Y276" i="1"/>
  <c r="Z276" i="1"/>
  <c r="AA276" i="1"/>
  <c r="AC276" i="1"/>
  <c r="AE276" i="1"/>
  <c r="AF276" i="1"/>
  <c r="AG276" i="1"/>
  <c r="AK276" i="1"/>
  <c r="AS276" i="1"/>
  <c r="AT276" i="1"/>
  <c r="B277" i="1"/>
  <c r="C277" i="1"/>
  <c r="D277" i="1"/>
  <c r="E277" i="1"/>
  <c r="F277" i="1"/>
  <c r="H277" i="1"/>
  <c r="I277" i="1"/>
  <c r="J277" i="1"/>
  <c r="K277" i="1"/>
  <c r="L277" i="1"/>
  <c r="M277" i="1"/>
  <c r="N277" i="1"/>
  <c r="O277" i="1"/>
  <c r="W277" i="1"/>
  <c r="Y277" i="1"/>
  <c r="Z277" i="1"/>
  <c r="AA277" i="1"/>
  <c r="AC277" i="1"/>
  <c r="AE277" i="1"/>
  <c r="AF277" i="1"/>
  <c r="AG277" i="1"/>
  <c r="AK277" i="1"/>
  <c r="AS277" i="1"/>
  <c r="AT277" i="1"/>
  <c r="B278" i="1"/>
  <c r="C278" i="1"/>
  <c r="D278" i="1"/>
  <c r="E278" i="1"/>
  <c r="F278" i="1"/>
  <c r="G278" i="1"/>
  <c r="H278" i="1"/>
  <c r="I278" i="1"/>
  <c r="J278" i="1"/>
  <c r="K278" i="1"/>
  <c r="L278" i="1"/>
  <c r="M278" i="1"/>
  <c r="N278" i="1"/>
  <c r="O278" i="1"/>
  <c r="W278" i="1"/>
  <c r="Y278" i="1"/>
  <c r="Z278" i="1"/>
  <c r="AA278" i="1"/>
  <c r="AC278" i="1"/>
  <c r="AE278" i="1"/>
  <c r="AF278" i="1"/>
  <c r="AG278" i="1"/>
  <c r="AK278" i="1"/>
  <c r="AS278" i="1"/>
  <c r="AT278" i="1"/>
  <c r="B279" i="1"/>
  <c r="C279" i="1"/>
  <c r="D279" i="1"/>
  <c r="E279" i="1"/>
  <c r="F279" i="1"/>
  <c r="G279" i="1"/>
  <c r="H279" i="1"/>
  <c r="I279" i="1"/>
  <c r="J279" i="1"/>
  <c r="K279" i="1"/>
  <c r="L279" i="1"/>
  <c r="M279" i="1"/>
  <c r="N279" i="1"/>
  <c r="O279" i="1"/>
  <c r="S279" i="1"/>
  <c r="U279" i="1"/>
  <c r="W279" i="1"/>
  <c r="Y279" i="1"/>
  <c r="Z279" i="1"/>
  <c r="AA279" i="1"/>
  <c r="AC279" i="1"/>
  <c r="AE279" i="1"/>
  <c r="AF279" i="1"/>
  <c r="AG279" i="1"/>
  <c r="AK279" i="1"/>
  <c r="AS279" i="1"/>
  <c r="AT279" i="1"/>
  <c r="B280" i="1"/>
  <c r="C280" i="1"/>
  <c r="D280" i="1"/>
  <c r="E280" i="1"/>
  <c r="F280" i="1"/>
  <c r="G280" i="1"/>
  <c r="H280" i="1"/>
  <c r="I280" i="1"/>
  <c r="J280" i="1"/>
  <c r="K280" i="1"/>
  <c r="L280" i="1"/>
  <c r="M280" i="1"/>
  <c r="N280" i="1"/>
  <c r="O280" i="1"/>
  <c r="W280" i="1"/>
  <c r="Y280" i="1"/>
  <c r="Z280" i="1"/>
  <c r="AA280" i="1"/>
  <c r="AC280" i="1"/>
  <c r="AE280" i="1"/>
  <c r="AF280" i="1"/>
  <c r="AG280" i="1"/>
  <c r="AK280" i="1"/>
  <c r="AS280" i="1"/>
  <c r="AT280" i="1"/>
  <c r="B281" i="1"/>
  <c r="C281" i="1"/>
  <c r="D281" i="1"/>
  <c r="E281" i="1"/>
  <c r="F281" i="1"/>
  <c r="G281" i="1"/>
  <c r="H281" i="1"/>
  <c r="I281" i="1"/>
  <c r="J281" i="1"/>
  <c r="K281" i="1"/>
  <c r="L281" i="1"/>
  <c r="M281" i="1"/>
  <c r="N281" i="1"/>
  <c r="O281" i="1"/>
  <c r="W281" i="1"/>
  <c r="Y281" i="1"/>
  <c r="Z281" i="1"/>
  <c r="AA281" i="1"/>
  <c r="AC281" i="1"/>
  <c r="AE281" i="1"/>
  <c r="AF281" i="1"/>
  <c r="AG281" i="1"/>
  <c r="AK281" i="1"/>
  <c r="AS281" i="1"/>
  <c r="AT281" i="1"/>
  <c r="B282" i="1"/>
  <c r="C282" i="1"/>
  <c r="D282" i="1"/>
  <c r="E282" i="1"/>
  <c r="F282" i="1"/>
  <c r="H282" i="1"/>
  <c r="I282" i="1"/>
  <c r="J282" i="1"/>
  <c r="K282" i="1"/>
  <c r="L282" i="1"/>
  <c r="M282" i="1"/>
  <c r="N282" i="1"/>
  <c r="O282" i="1"/>
  <c r="W282" i="1"/>
  <c r="Y282" i="1"/>
  <c r="Z282" i="1"/>
  <c r="AA282" i="1"/>
  <c r="AC282" i="1"/>
  <c r="AE282" i="1"/>
  <c r="AF282" i="1"/>
  <c r="AG282" i="1"/>
  <c r="AK282" i="1"/>
  <c r="AS282" i="1"/>
  <c r="AT282" i="1"/>
  <c r="B283" i="1"/>
  <c r="C283" i="1"/>
  <c r="D283" i="1"/>
  <c r="E283" i="1"/>
  <c r="F283" i="1"/>
  <c r="H283" i="1"/>
  <c r="I283" i="1"/>
  <c r="J283" i="1"/>
  <c r="K283" i="1"/>
  <c r="L283" i="1"/>
  <c r="M283" i="1"/>
  <c r="N283" i="1"/>
  <c r="O283" i="1"/>
  <c r="W283" i="1"/>
  <c r="Y283" i="1"/>
  <c r="Z283" i="1"/>
  <c r="AA283" i="1"/>
  <c r="AC283" i="1"/>
  <c r="AE283" i="1"/>
  <c r="AF283" i="1"/>
  <c r="AG283" i="1"/>
  <c r="AK283" i="1"/>
  <c r="AS283" i="1"/>
  <c r="AT283" i="1"/>
  <c r="B284" i="1"/>
  <c r="C284" i="1"/>
  <c r="D284" i="1"/>
  <c r="E284" i="1"/>
  <c r="F284" i="1"/>
  <c r="H284" i="1"/>
  <c r="I284" i="1"/>
  <c r="J284" i="1"/>
  <c r="K284" i="1"/>
  <c r="L284" i="1"/>
  <c r="M284" i="1"/>
  <c r="N284" i="1"/>
  <c r="O284" i="1"/>
  <c r="W284" i="1"/>
  <c r="Y284" i="1"/>
  <c r="Z284" i="1"/>
  <c r="AA284" i="1"/>
  <c r="AC284" i="1"/>
  <c r="AE284" i="1"/>
  <c r="AF284" i="1"/>
  <c r="AG284" i="1"/>
  <c r="AK284" i="1"/>
  <c r="AS284" i="1"/>
  <c r="AT284" i="1"/>
  <c r="B285" i="1"/>
  <c r="C285" i="1"/>
  <c r="D285" i="1"/>
  <c r="E285" i="1"/>
  <c r="F285" i="1"/>
  <c r="H285" i="1"/>
  <c r="I285" i="1"/>
  <c r="J285" i="1"/>
  <c r="K285" i="1"/>
  <c r="L285" i="1"/>
  <c r="M285" i="1"/>
  <c r="N285" i="1"/>
  <c r="O285" i="1"/>
  <c r="W285" i="1"/>
  <c r="Y285" i="1"/>
  <c r="Z285" i="1"/>
  <c r="AA285" i="1"/>
  <c r="AC285" i="1"/>
  <c r="AE285" i="1"/>
  <c r="AF285" i="1"/>
  <c r="AG285" i="1"/>
  <c r="AK285" i="1"/>
  <c r="AS285" i="1"/>
  <c r="AT285" i="1"/>
  <c r="B286" i="1"/>
  <c r="C286" i="1"/>
  <c r="D286" i="1"/>
  <c r="E286" i="1"/>
  <c r="F286" i="1"/>
  <c r="H286" i="1"/>
  <c r="I286" i="1"/>
  <c r="J286" i="1"/>
  <c r="K286" i="1"/>
  <c r="L286" i="1"/>
  <c r="M286" i="1"/>
  <c r="N286" i="1"/>
  <c r="O286" i="1"/>
  <c r="W286" i="1"/>
  <c r="Y286" i="1"/>
  <c r="Z286" i="1"/>
  <c r="AA286" i="1"/>
  <c r="AC286" i="1"/>
  <c r="AE286" i="1"/>
  <c r="AF286" i="1"/>
  <c r="AG286" i="1"/>
  <c r="AK286" i="1"/>
  <c r="AS286" i="1"/>
  <c r="AT286" i="1"/>
  <c r="B287" i="1"/>
  <c r="C287" i="1"/>
  <c r="D287" i="1"/>
  <c r="E287" i="1"/>
  <c r="F287" i="1"/>
  <c r="H287" i="1"/>
  <c r="I287" i="1"/>
  <c r="J287" i="1"/>
  <c r="K287" i="1"/>
  <c r="L287" i="1"/>
  <c r="M287" i="1"/>
  <c r="N287" i="1"/>
  <c r="O287" i="1"/>
  <c r="W287" i="1"/>
  <c r="Y287" i="1"/>
  <c r="Z287" i="1"/>
  <c r="AA287" i="1"/>
  <c r="AC287" i="1"/>
  <c r="AE287" i="1"/>
  <c r="AF287" i="1"/>
  <c r="AG287" i="1"/>
  <c r="AK287" i="1"/>
  <c r="AS287" i="1"/>
  <c r="AT287" i="1"/>
  <c r="B288" i="1"/>
  <c r="C288" i="1"/>
  <c r="D288" i="1"/>
  <c r="E288" i="1"/>
  <c r="F288" i="1"/>
  <c r="G288" i="1"/>
  <c r="H288" i="1"/>
  <c r="I288" i="1"/>
  <c r="J288" i="1"/>
  <c r="K288" i="1"/>
  <c r="L288" i="1"/>
  <c r="M288" i="1"/>
  <c r="N288" i="1"/>
  <c r="O288" i="1"/>
  <c r="W288" i="1"/>
  <c r="Y288" i="1"/>
  <c r="Z288" i="1"/>
  <c r="AA288" i="1"/>
  <c r="AC288" i="1"/>
  <c r="AE288" i="1"/>
  <c r="AF288" i="1"/>
  <c r="AG288" i="1"/>
  <c r="AK288" i="1"/>
  <c r="AS288" i="1"/>
  <c r="AT288" i="1"/>
  <c r="B289" i="1"/>
  <c r="C289" i="1"/>
  <c r="D289" i="1"/>
  <c r="E289" i="1"/>
  <c r="F289" i="1"/>
  <c r="H289" i="1"/>
  <c r="I289" i="1"/>
  <c r="J289" i="1"/>
  <c r="K289" i="1"/>
  <c r="L289" i="1"/>
  <c r="M289" i="1"/>
  <c r="N289" i="1"/>
  <c r="O289" i="1"/>
  <c r="W289" i="1"/>
  <c r="Y289" i="1"/>
  <c r="Z289" i="1"/>
  <c r="AA289" i="1"/>
  <c r="AC289" i="1"/>
  <c r="AE289" i="1"/>
  <c r="AF289" i="1"/>
  <c r="AG289" i="1"/>
  <c r="AK289" i="1"/>
  <c r="AS289" i="1"/>
  <c r="AT289" i="1"/>
  <c r="B290" i="1"/>
  <c r="C290" i="1"/>
  <c r="D290" i="1"/>
  <c r="E290" i="1"/>
  <c r="F290" i="1"/>
  <c r="G290" i="1"/>
  <c r="H290" i="1"/>
  <c r="I290" i="1"/>
  <c r="J290" i="1"/>
  <c r="K290" i="1"/>
  <c r="L290" i="1"/>
  <c r="M290" i="1"/>
  <c r="N290" i="1"/>
  <c r="O290" i="1"/>
  <c r="W290" i="1"/>
  <c r="Y290" i="1"/>
  <c r="Z290" i="1"/>
  <c r="AA290" i="1"/>
  <c r="AC290" i="1"/>
  <c r="AE290" i="1"/>
  <c r="AF290" i="1"/>
  <c r="AG290" i="1"/>
  <c r="AK290" i="1"/>
  <c r="AS290" i="1"/>
  <c r="AT290" i="1"/>
  <c r="B291" i="1"/>
  <c r="C291" i="1"/>
  <c r="D291" i="1"/>
  <c r="E291" i="1"/>
  <c r="F291" i="1"/>
  <c r="H291" i="1"/>
  <c r="I291" i="1"/>
  <c r="J291" i="1"/>
  <c r="K291" i="1"/>
  <c r="L291" i="1"/>
  <c r="M291" i="1"/>
  <c r="N291" i="1"/>
  <c r="O291" i="1"/>
  <c r="W291" i="1"/>
  <c r="Y291" i="1"/>
  <c r="Z291" i="1"/>
  <c r="AA291" i="1"/>
  <c r="AC291" i="1"/>
  <c r="AE291" i="1"/>
  <c r="AF291" i="1"/>
  <c r="AG291" i="1"/>
  <c r="AK291" i="1"/>
  <c r="AS291" i="1"/>
  <c r="AT291" i="1"/>
  <c r="B292" i="1"/>
  <c r="C292" i="1"/>
  <c r="D292" i="1"/>
  <c r="E292" i="1"/>
  <c r="F292" i="1"/>
  <c r="H292" i="1"/>
  <c r="I292" i="1"/>
  <c r="J292" i="1"/>
  <c r="K292" i="1"/>
  <c r="L292" i="1"/>
  <c r="M292" i="1"/>
  <c r="N292" i="1"/>
  <c r="O292" i="1"/>
  <c r="W292" i="1"/>
  <c r="Y292" i="1"/>
  <c r="Z292" i="1"/>
  <c r="AA292" i="1"/>
  <c r="AC292" i="1"/>
  <c r="AE292" i="1"/>
  <c r="AF292" i="1"/>
  <c r="AG292" i="1"/>
  <c r="AK292" i="1"/>
  <c r="AS292" i="1"/>
  <c r="AT292" i="1"/>
  <c r="B293" i="1"/>
  <c r="C293" i="1"/>
  <c r="D293" i="1"/>
  <c r="E293" i="1"/>
  <c r="F293" i="1"/>
  <c r="H293" i="1"/>
  <c r="I293" i="1"/>
  <c r="J293" i="1"/>
  <c r="K293" i="1"/>
  <c r="L293" i="1"/>
  <c r="M293" i="1"/>
  <c r="N293" i="1"/>
  <c r="O293" i="1"/>
  <c r="W293" i="1"/>
  <c r="Y293" i="1"/>
  <c r="Z293" i="1"/>
  <c r="AA293" i="1"/>
  <c r="AC293" i="1"/>
  <c r="AE293" i="1"/>
  <c r="AF293" i="1"/>
  <c r="AG293" i="1"/>
  <c r="AK293" i="1"/>
  <c r="AS293" i="1"/>
  <c r="AT293" i="1"/>
  <c r="B294" i="1"/>
  <c r="C294" i="1"/>
  <c r="D294" i="1"/>
  <c r="E294" i="1"/>
  <c r="F294" i="1"/>
  <c r="G294" i="1"/>
  <c r="H294" i="1"/>
  <c r="I294" i="1"/>
  <c r="J294" i="1"/>
  <c r="K294" i="1"/>
  <c r="L294" i="1"/>
  <c r="M294" i="1"/>
  <c r="N294" i="1"/>
  <c r="O294" i="1"/>
  <c r="W294" i="1"/>
  <c r="Y294" i="1"/>
  <c r="Z294" i="1"/>
  <c r="AA294" i="1"/>
  <c r="AC294" i="1"/>
  <c r="AE294" i="1"/>
  <c r="AF294" i="1"/>
  <c r="AG294" i="1"/>
  <c r="AK294" i="1"/>
  <c r="AS294" i="1"/>
  <c r="AT294" i="1"/>
  <c r="B295" i="1"/>
  <c r="C295" i="1"/>
  <c r="D295" i="1"/>
  <c r="E295" i="1"/>
  <c r="F295" i="1"/>
  <c r="H295" i="1"/>
  <c r="I295" i="1"/>
  <c r="J295" i="1"/>
  <c r="K295" i="1"/>
  <c r="L295" i="1"/>
  <c r="M295" i="1"/>
  <c r="N295" i="1"/>
  <c r="O295" i="1"/>
  <c r="W295" i="1"/>
  <c r="Y295" i="1"/>
  <c r="Z295" i="1"/>
  <c r="AA295" i="1"/>
  <c r="AC295" i="1"/>
  <c r="AE295" i="1"/>
  <c r="AF295" i="1"/>
  <c r="AG295" i="1"/>
  <c r="AK295" i="1"/>
  <c r="AS295" i="1"/>
  <c r="AT295" i="1"/>
  <c r="B296" i="1"/>
  <c r="C296" i="1"/>
  <c r="D296" i="1"/>
  <c r="E296" i="1"/>
  <c r="F296" i="1"/>
  <c r="H296" i="1"/>
  <c r="I296" i="1"/>
  <c r="J296" i="1"/>
  <c r="K296" i="1"/>
  <c r="L296" i="1"/>
  <c r="M296" i="1"/>
  <c r="N296" i="1"/>
  <c r="O296" i="1"/>
  <c r="W296" i="1"/>
  <c r="Y296" i="1"/>
  <c r="Z296" i="1"/>
  <c r="AA296" i="1"/>
  <c r="AC296" i="1"/>
  <c r="AE296" i="1"/>
  <c r="AF296" i="1"/>
  <c r="AG296" i="1"/>
  <c r="AK296" i="1"/>
  <c r="AS296" i="1"/>
  <c r="AT296" i="1"/>
  <c r="B297" i="1"/>
  <c r="C297" i="1"/>
  <c r="D297" i="1"/>
  <c r="E297" i="1"/>
  <c r="F297" i="1"/>
  <c r="H297" i="1"/>
  <c r="I297" i="1"/>
  <c r="J297" i="1"/>
  <c r="K297" i="1"/>
  <c r="L297" i="1"/>
  <c r="M297" i="1"/>
  <c r="N297" i="1"/>
  <c r="O297" i="1"/>
  <c r="S297" i="1"/>
  <c r="T297" i="1"/>
  <c r="U297" i="1"/>
  <c r="W297" i="1"/>
  <c r="Y297" i="1"/>
  <c r="Z297" i="1"/>
  <c r="AA297" i="1"/>
  <c r="AC297" i="1"/>
  <c r="AE297" i="1"/>
  <c r="AF297" i="1"/>
  <c r="AG297" i="1"/>
  <c r="AK297" i="1"/>
  <c r="AS297" i="1"/>
  <c r="AT297" i="1"/>
  <c r="B298" i="1"/>
  <c r="C298" i="1"/>
  <c r="D298" i="1"/>
  <c r="E298" i="1"/>
  <c r="F298" i="1"/>
  <c r="H298" i="1"/>
  <c r="I298" i="1"/>
  <c r="J298" i="1"/>
  <c r="K298" i="1"/>
  <c r="L298" i="1"/>
  <c r="M298" i="1"/>
  <c r="N298" i="1"/>
  <c r="O298" i="1"/>
  <c r="W298" i="1"/>
  <c r="Y298" i="1"/>
  <c r="Z298" i="1"/>
  <c r="AA298" i="1"/>
  <c r="AC298" i="1"/>
  <c r="AE298" i="1"/>
  <c r="AF298" i="1"/>
  <c r="AG298" i="1"/>
  <c r="AK298" i="1"/>
  <c r="AS298" i="1"/>
  <c r="AT298" i="1"/>
  <c r="B299" i="1"/>
  <c r="C299" i="1"/>
  <c r="D299" i="1"/>
  <c r="E299" i="1"/>
  <c r="F299" i="1"/>
  <c r="H299" i="1"/>
  <c r="I299" i="1"/>
  <c r="J299" i="1"/>
  <c r="K299" i="1"/>
  <c r="L299" i="1"/>
  <c r="M299" i="1"/>
  <c r="N299" i="1"/>
  <c r="O299" i="1"/>
  <c r="W299" i="1"/>
  <c r="Y299" i="1"/>
  <c r="Z299" i="1"/>
  <c r="AA299" i="1"/>
  <c r="AC299" i="1"/>
  <c r="AE299" i="1"/>
  <c r="AF299" i="1"/>
  <c r="AG299" i="1"/>
  <c r="AK299" i="1"/>
  <c r="AS299" i="1"/>
  <c r="AT299" i="1"/>
  <c r="B300" i="1"/>
  <c r="C300" i="1"/>
  <c r="D300" i="1"/>
  <c r="E300" i="1"/>
  <c r="F300" i="1"/>
  <c r="H300" i="1"/>
  <c r="I300" i="1"/>
  <c r="J300" i="1"/>
  <c r="K300" i="1"/>
  <c r="L300" i="1"/>
  <c r="M300" i="1"/>
  <c r="N300" i="1"/>
  <c r="O300" i="1"/>
  <c r="W300" i="1"/>
  <c r="Y300" i="1"/>
  <c r="Z300" i="1"/>
  <c r="AA300" i="1"/>
  <c r="AC300" i="1"/>
  <c r="AE300" i="1"/>
  <c r="AF300" i="1"/>
  <c r="AG300" i="1"/>
  <c r="AK300" i="1"/>
  <c r="AS300" i="1"/>
  <c r="AT300" i="1"/>
  <c r="B301" i="1"/>
  <c r="C301" i="1"/>
  <c r="D301" i="1"/>
  <c r="E301" i="1"/>
  <c r="F301" i="1"/>
  <c r="H301" i="1"/>
  <c r="I301" i="1"/>
  <c r="J301" i="1"/>
  <c r="K301" i="1"/>
  <c r="L301" i="1"/>
  <c r="M301" i="1"/>
  <c r="N301" i="1"/>
  <c r="O301" i="1"/>
  <c r="W301" i="1"/>
  <c r="Y301" i="1"/>
  <c r="Z301" i="1"/>
  <c r="AA301" i="1"/>
  <c r="AC301" i="1"/>
  <c r="AE301" i="1"/>
  <c r="AF301" i="1"/>
  <c r="AG301" i="1"/>
  <c r="AK301" i="1"/>
  <c r="AS301" i="1"/>
  <c r="AT301" i="1"/>
  <c r="B302" i="1"/>
  <c r="C302" i="1"/>
  <c r="D302" i="1"/>
  <c r="E302" i="1"/>
  <c r="F302" i="1"/>
  <c r="H302" i="1"/>
  <c r="I302" i="1"/>
  <c r="J302" i="1"/>
  <c r="K302" i="1"/>
  <c r="L302" i="1"/>
  <c r="M302" i="1"/>
  <c r="N302" i="1"/>
  <c r="O302" i="1"/>
  <c r="W302" i="1"/>
  <c r="Y302" i="1"/>
  <c r="Z302" i="1"/>
  <c r="AA302" i="1"/>
  <c r="AC302" i="1"/>
  <c r="AE302" i="1"/>
  <c r="AF302" i="1"/>
  <c r="AG302" i="1"/>
  <c r="AK302" i="1"/>
  <c r="AS302" i="1"/>
  <c r="AT302" i="1"/>
  <c r="B303" i="1"/>
  <c r="C303" i="1"/>
  <c r="D303" i="1"/>
  <c r="E303" i="1"/>
  <c r="F303" i="1"/>
  <c r="H303" i="1"/>
  <c r="I303" i="1"/>
  <c r="J303" i="1"/>
  <c r="K303" i="1"/>
  <c r="L303" i="1"/>
  <c r="M303" i="1"/>
  <c r="N303" i="1"/>
  <c r="O303" i="1"/>
  <c r="W303" i="1"/>
  <c r="Y303" i="1"/>
  <c r="Z303" i="1"/>
  <c r="AA303" i="1"/>
  <c r="AC303" i="1"/>
  <c r="AE303" i="1"/>
  <c r="AF303" i="1"/>
  <c r="AG303" i="1"/>
  <c r="AK303" i="1"/>
  <c r="AS303" i="1"/>
  <c r="AT303" i="1"/>
  <c r="B304" i="1"/>
  <c r="C304" i="1"/>
  <c r="D304" i="1"/>
  <c r="E304" i="1"/>
  <c r="F304" i="1"/>
  <c r="H304" i="1"/>
  <c r="I304" i="1"/>
  <c r="J304" i="1"/>
  <c r="K304" i="1"/>
  <c r="L304" i="1"/>
  <c r="M304" i="1"/>
  <c r="N304" i="1"/>
  <c r="O304" i="1"/>
  <c r="Q304" i="1"/>
  <c r="W304" i="1"/>
  <c r="Y304" i="1"/>
  <c r="Z304" i="1"/>
  <c r="AA304" i="1"/>
  <c r="AC304" i="1"/>
  <c r="AE304" i="1"/>
  <c r="AF304" i="1"/>
  <c r="AG304" i="1"/>
  <c r="AK304" i="1"/>
  <c r="AS304" i="1"/>
  <c r="AT304" i="1"/>
  <c r="B305" i="1"/>
  <c r="C305" i="1"/>
  <c r="D305" i="1"/>
  <c r="E305" i="1"/>
  <c r="F305" i="1"/>
  <c r="H305" i="1"/>
  <c r="I305" i="1"/>
  <c r="J305" i="1"/>
  <c r="K305" i="1"/>
  <c r="L305" i="1"/>
  <c r="M305" i="1"/>
  <c r="N305" i="1"/>
  <c r="O305" i="1"/>
  <c r="W305" i="1"/>
  <c r="Y305" i="1"/>
  <c r="Z305" i="1"/>
  <c r="AA305" i="1"/>
  <c r="AC305" i="1"/>
  <c r="AE305" i="1"/>
  <c r="AF305" i="1"/>
  <c r="AG305" i="1"/>
  <c r="AK305" i="1"/>
  <c r="AS305" i="1"/>
  <c r="AT305" i="1"/>
  <c r="B306" i="1"/>
  <c r="C306" i="1"/>
  <c r="D306" i="1"/>
  <c r="E306" i="1"/>
  <c r="F306" i="1"/>
  <c r="H306" i="1"/>
  <c r="I306" i="1"/>
  <c r="J306" i="1"/>
  <c r="K306" i="1"/>
  <c r="L306" i="1"/>
  <c r="M306" i="1"/>
  <c r="N306" i="1"/>
  <c r="O306" i="1"/>
  <c r="W306" i="1"/>
  <c r="Y306" i="1"/>
  <c r="Z306" i="1"/>
  <c r="AA306" i="1"/>
  <c r="AC306" i="1"/>
  <c r="AE306" i="1"/>
  <c r="AF306" i="1"/>
  <c r="AG306" i="1"/>
  <c r="AK306" i="1"/>
  <c r="AS306" i="1"/>
  <c r="AT306" i="1"/>
  <c r="B307" i="1"/>
  <c r="C307" i="1"/>
  <c r="D307" i="1"/>
  <c r="E307" i="1"/>
  <c r="F307" i="1"/>
  <c r="H307" i="1"/>
  <c r="I307" i="1"/>
  <c r="J307" i="1"/>
  <c r="K307" i="1"/>
  <c r="L307" i="1"/>
  <c r="M307" i="1"/>
  <c r="N307" i="1"/>
  <c r="O307" i="1"/>
  <c r="W307" i="1"/>
  <c r="Y307" i="1"/>
  <c r="Z307" i="1"/>
  <c r="AA307" i="1"/>
  <c r="AC307" i="1"/>
  <c r="AE307" i="1"/>
  <c r="AF307" i="1"/>
  <c r="AG307" i="1"/>
  <c r="AK307" i="1"/>
  <c r="AS307" i="1"/>
  <c r="AT307" i="1"/>
  <c r="B308" i="1"/>
  <c r="C308" i="1"/>
  <c r="D308" i="1"/>
  <c r="E308" i="1"/>
  <c r="F308" i="1"/>
  <c r="G308" i="1"/>
  <c r="H308" i="1"/>
  <c r="I308" i="1"/>
  <c r="J308" i="1"/>
  <c r="K308" i="1"/>
  <c r="L308" i="1"/>
  <c r="M308" i="1"/>
  <c r="N308" i="1"/>
  <c r="O308" i="1"/>
  <c r="W308" i="1"/>
  <c r="Y308" i="1"/>
  <c r="Z308" i="1"/>
  <c r="AA308" i="1"/>
  <c r="AC308" i="1"/>
  <c r="AE308" i="1"/>
  <c r="AF308" i="1"/>
  <c r="AG308" i="1"/>
  <c r="AK308" i="1"/>
  <c r="AS308" i="1"/>
  <c r="AT308" i="1"/>
  <c r="B309" i="1"/>
  <c r="C309" i="1"/>
  <c r="D309" i="1"/>
  <c r="E309" i="1"/>
  <c r="F309" i="1"/>
  <c r="G309" i="1"/>
  <c r="H309" i="1"/>
  <c r="I309" i="1"/>
  <c r="J309" i="1"/>
  <c r="K309" i="1"/>
  <c r="L309" i="1"/>
  <c r="M309" i="1"/>
  <c r="N309" i="1"/>
  <c r="O309" i="1"/>
  <c r="W309" i="1"/>
  <c r="Y309" i="1"/>
  <c r="Z309" i="1"/>
  <c r="AA309" i="1"/>
  <c r="AC309" i="1"/>
  <c r="AE309" i="1"/>
  <c r="AF309" i="1"/>
  <c r="AG309" i="1"/>
  <c r="AK309" i="1"/>
  <c r="AS309" i="1"/>
  <c r="AT309" i="1"/>
  <c r="B310" i="1"/>
  <c r="C310" i="1"/>
  <c r="D310" i="1"/>
  <c r="E310" i="1"/>
  <c r="F310" i="1"/>
  <c r="G310" i="1"/>
  <c r="H310" i="1"/>
  <c r="I310" i="1"/>
  <c r="J310" i="1"/>
  <c r="K310" i="1"/>
  <c r="L310" i="1"/>
  <c r="M310" i="1"/>
  <c r="N310" i="1"/>
  <c r="O310" i="1"/>
  <c r="W310" i="1"/>
  <c r="Y310" i="1"/>
  <c r="Z310" i="1"/>
  <c r="AA310" i="1"/>
  <c r="AC310" i="1"/>
  <c r="AE310" i="1"/>
  <c r="AF310" i="1"/>
  <c r="AG310" i="1"/>
  <c r="AK310" i="1"/>
  <c r="AS310" i="1"/>
  <c r="AT310" i="1"/>
  <c r="B311" i="1"/>
  <c r="C311" i="1"/>
  <c r="D311" i="1"/>
  <c r="E311" i="1"/>
  <c r="F311" i="1"/>
  <c r="H311" i="1"/>
  <c r="I311" i="1"/>
  <c r="J311" i="1"/>
  <c r="K311" i="1"/>
  <c r="L311" i="1"/>
  <c r="M311" i="1"/>
  <c r="N311" i="1"/>
  <c r="O311" i="1"/>
  <c r="W311" i="1"/>
  <c r="Y311" i="1"/>
  <c r="Z311" i="1"/>
  <c r="AA311" i="1"/>
  <c r="AC311" i="1"/>
  <c r="AE311" i="1"/>
  <c r="AF311" i="1"/>
  <c r="AG311" i="1"/>
  <c r="AK311" i="1"/>
  <c r="AS311" i="1"/>
  <c r="AT311" i="1"/>
  <c r="B312" i="1"/>
  <c r="C312" i="1"/>
  <c r="D312" i="1"/>
  <c r="E312" i="1"/>
  <c r="F312" i="1"/>
  <c r="H312" i="1"/>
  <c r="I312" i="1"/>
  <c r="J312" i="1"/>
  <c r="K312" i="1"/>
  <c r="L312" i="1"/>
  <c r="M312" i="1"/>
  <c r="N312" i="1"/>
  <c r="O312" i="1"/>
  <c r="S312" i="1"/>
  <c r="T312" i="1"/>
  <c r="U312" i="1"/>
  <c r="W312" i="1"/>
  <c r="Y312" i="1"/>
  <c r="Z312" i="1"/>
  <c r="AA312" i="1"/>
  <c r="AC312" i="1"/>
  <c r="AE312" i="1"/>
  <c r="AF312" i="1"/>
  <c r="AG312" i="1"/>
  <c r="AK312" i="1"/>
  <c r="AS312" i="1"/>
  <c r="AT312" i="1"/>
  <c r="B313" i="1"/>
  <c r="C313" i="1"/>
  <c r="D313" i="1"/>
  <c r="E313" i="1"/>
  <c r="F313" i="1"/>
  <c r="G313" i="1"/>
  <c r="H313" i="1"/>
  <c r="I313" i="1"/>
  <c r="J313" i="1"/>
  <c r="K313" i="1"/>
  <c r="L313" i="1"/>
  <c r="M313" i="1"/>
  <c r="N313" i="1"/>
  <c r="O313" i="1"/>
  <c r="W313" i="1"/>
  <c r="Y313" i="1"/>
  <c r="Z313" i="1"/>
  <c r="AA313" i="1"/>
  <c r="AC313" i="1"/>
  <c r="AE313" i="1"/>
  <c r="AF313" i="1"/>
  <c r="AG313" i="1"/>
  <c r="AK313" i="1"/>
  <c r="AS313" i="1"/>
  <c r="AT313" i="1"/>
  <c r="B314" i="1"/>
  <c r="C314" i="1"/>
  <c r="D314" i="1"/>
  <c r="E314" i="1"/>
  <c r="F314" i="1"/>
  <c r="H314" i="1"/>
  <c r="I314" i="1"/>
  <c r="J314" i="1"/>
  <c r="K314" i="1"/>
  <c r="L314" i="1"/>
  <c r="M314" i="1"/>
  <c r="N314" i="1"/>
  <c r="O314" i="1"/>
  <c r="W314" i="1"/>
  <c r="Y314" i="1"/>
  <c r="Z314" i="1"/>
  <c r="AA314" i="1"/>
  <c r="AC314" i="1"/>
  <c r="AE314" i="1"/>
  <c r="AF314" i="1"/>
  <c r="AG314" i="1"/>
  <c r="AK314" i="1"/>
  <c r="AS314" i="1"/>
  <c r="AT314" i="1"/>
  <c r="B315" i="1"/>
  <c r="C315" i="1"/>
  <c r="D315" i="1"/>
  <c r="E315" i="1"/>
  <c r="F315" i="1"/>
  <c r="G315" i="1"/>
  <c r="H315" i="1"/>
  <c r="I315" i="1"/>
  <c r="K315" i="1"/>
  <c r="L315" i="1"/>
  <c r="M315" i="1"/>
  <c r="N315" i="1"/>
  <c r="O315" i="1"/>
  <c r="W315" i="1"/>
  <c r="Y315" i="1"/>
  <c r="Z315" i="1"/>
  <c r="AA315" i="1"/>
  <c r="AC315" i="1"/>
  <c r="AE315" i="1"/>
  <c r="AF315" i="1"/>
  <c r="AG315" i="1"/>
  <c r="AK315" i="1"/>
  <c r="AS315" i="1"/>
  <c r="AT315" i="1"/>
  <c r="B316" i="1"/>
  <c r="C316" i="1"/>
  <c r="D316" i="1"/>
  <c r="E316" i="1"/>
  <c r="F316" i="1"/>
  <c r="H316" i="1"/>
  <c r="I316" i="1"/>
  <c r="J316" i="1"/>
  <c r="K316" i="1"/>
  <c r="L316" i="1"/>
  <c r="M316" i="1"/>
  <c r="N316" i="1"/>
  <c r="O316" i="1"/>
  <c r="W316" i="1"/>
  <c r="Y316" i="1"/>
  <c r="Z316" i="1"/>
  <c r="AA316" i="1"/>
  <c r="AC316" i="1"/>
  <c r="AE316" i="1"/>
  <c r="AF316" i="1"/>
  <c r="AG316" i="1"/>
  <c r="AK316" i="1"/>
  <c r="AS316" i="1"/>
  <c r="AT316" i="1"/>
  <c r="B317" i="1"/>
  <c r="C317" i="1"/>
  <c r="D317" i="1"/>
  <c r="E317" i="1"/>
  <c r="F317" i="1"/>
  <c r="G317" i="1"/>
  <c r="H317" i="1"/>
  <c r="I317" i="1"/>
  <c r="J317" i="1"/>
  <c r="K317" i="1"/>
  <c r="L317" i="1"/>
  <c r="M317" i="1"/>
  <c r="N317" i="1"/>
  <c r="O317" i="1"/>
  <c r="W317" i="1"/>
  <c r="Y317" i="1"/>
  <c r="Z317" i="1"/>
  <c r="AA317" i="1"/>
  <c r="AC317" i="1"/>
  <c r="AE317" i="1"/>
  <c r="AF317" i="1"/>
  <c r="AG317" i="1"/>
  <c r="AK317" i="1"/>
  <c r="AS317" i="1"/>
  <c r="AT317" i="1"/>
  <c r="B318" i="1"/>
  <c r="C318" i="1"/>
  <c r="D318" i="1"/>
  <c r="E318" i="1"/>
  <c r="F318" i="1"/>
  <c r="G318" i="1"/>
  <c r="H318" i="1"/>
  <c r="I318" i="1"/>
  <c r="J318" i="1"/>
  <c r="K318" i="1"/>
  <c r="L318" i="1"/>
  <c r="M318" i="1"/>
  <c r="N318" i="1"/>
  <c r="O318" i="1"/>
  <c r="W318" i="1"/>
  <c r="Y318" i="1"/>
  <c r="Z318" i="1"/>
  <c r="AA318" i="1"/>
  <c r="AC318" i="1"/>
  <c r="AE318" i="1"/>
  <c r="AF318" i="1"/>
  <c r="AG318" i="1"/>
  <c r="AK318" i="1"/>
  <c r="AS318" i="1"/>
  <c r="AT318" i="1"/>
  <c r="B319" i="1"/>
  <c r="C319" i="1"/>
  <c r="D319" i="1"/>
  <c r="E319" i="1"/>
  <c r="F319" i="1"/>
  <c r="H319" i="1"/>
  <c r="I319" i="1"/>
  <c r="J319" i="1"/>
  <c r="K319" i="1"/>
  <c r="L319" i="1"/>
  <c r="M319" i="1"/>
  <c r="N319" i="1"/>
  <c r="O319" i="1"/>
  <c r="W319" i="1"/>
  <c r="Y319" i="1"/>
  <c r="Z319" i="1"/>
  <c r="AA319" i="1"/>
  <c r="AC319" i="1"/>
  <c r="AE319" i="1"/>
  <c r="AF319" i="1"/>
  <c r="AG319" i="1"/>
  <c r="AK319" i="1"/>
  <c r="AS319" i="1"/>
  <c r="AT319" i="1"/>
  <c r="B320" i="1"/>
  <c r="C320" i="1"/>
  <c r="D320" i="1"/>
  <c r="E320" i="1"/>
  <c r="F320" i="1"/>
  <c r="H320" i="1"/>
  <c r="I320" i="1"/>
  <c r="J320" i="1"/>
  <c r="K320" i="1"/>
  <c r="L320" i="1"/>
  <c r="M320" i="1"/>
  <c r="N320" i="1"/>
  <c r="O320" i="1"/>
  <c r="W320" i="1"/>
  <c r="Y320" i="1"/>
  <c r="Z320" i="1"/>
  <c r="AA320" i="1"/>
  <c r="AC320" i="1"/>
  <c r="AE320" i="1"/>
  <c r="AF320" i="1"/>
  <c r="AG320" i="1"/>
  <c r="AK320" i="1"/>
  <c r="AS320" i="1"/>
  <c r="AT320" i="1"/>
  <c r="B321" i="1"/>
  <c r="C321" i="1"/>
  <c r="D321" i="1"/>
  <c r="E321" i="1"/>
  <c r="F321" i="1"/>
  <c r="G321" i="1"/>
  <c r="H321" i="1"/>
  <c r="I321" i="1"/>
  <c r="J321" i="1"/>
  <c r="K321" i="1"/>
  <c r="L321" i="1"/>
  <c r="M321" i="1"/>
  <c r="N321" i="1"/>
  <c r="O321" i="1"/>
  <c r="W321" i="1"/>
  <c r="Y321" i="1"/>
  <c r="Z321" i="1"/>
  <c r="AA321" i="1"/>
  <c r="AC321" i="1"/>
  <c r="AE321" i="1"/>
  <c r="AF321" i="1"/>
  <c r="AG321" i="1"/>
  <c r="AK321" i="1"/>
  <c r="AS321" i="1"/>
  <c r="AT321" i="1"/>
  <c r="B322" i="1"/>
  <c r="C322" i="1"/>
  <c r="D322" i="1"/>
  <c r="E322" i="1"/>
  <c r="F322" i="1"/>
  <c r="G322" i="1"/>
  <c r="H322" i="1"/>
  <c r="I322" i="1"/>
  <c r="J322" i="1"/>
  <c r="K322" i="1"/>
  <c r="L322" i="1"/>
  <c r="M322" i="1"/>
  <c r="N322" i="1"/>
  <c r="O322" i="1"/>
  <c r="W322" i="1"/>
  <c r="Y322" i="1"/>
  <c r="Z322" i="1"/>
  <c r="AA322" i="1"/>
  <c r="AC322" i="1"/>
  <c r="AE322" i="1"/>
  <c r="AF322" i="1"/>
  <c r="AG322" i="1"/>
  <c r="AK322" i="1"/>
  <c r="AS322" i="1"/>
  <c r="AT322" i="1"/>
  <c r="B323" i="1"/>
  <c r="C323" i="1"/>
  <c r="D323" i="1"/>
  <c r="E323" i="1"/>
  <c r="F323" i="1"/>
  <c r="H323" i="1"/>
  <c r="I323" i="1"/>
  <c r="J323" i="1"/>
  <c r="K323" i="1"/>
  <c r="L323" i="1"/>
  <c r="M323" i="1"/>
  <c r="N323" i="1"/>
  <c r="O323" i="1"/>
  <c r="W323" i="1"/>
  <c r="Y323" i="1"/>
  <c r="Z323" i="1"/>
  <c r="AA323" i="1"/>
  <c r="AC323" i="1"/>
  <c r="AE323" i="1"/>
  <c r="AF323" i="1"/>
  <c r="AG323" i="1"/>
  <c r="AK323" i="1"/>
  <c r="AS323" i="1"/>
  <c r="AT323" i="1"/>
  <c r="B324" i="1"/>
  <c r="C324" i="1"/>
  <c r="D324" i="1"/>
  <c r="E324" i="1"/>
  <c r="F324" i="1"/>
  <c r="H324" i="1"/>
  <c r="I324" i="1"/>
  <c r="J324" i="1"/>
  <c r="K324" i="1"/>
  <c r="L324" i="1"/>
  <c r="M324" i="1"/>
  <c r="N324" i="1"/>
  <c r="O324" i="1"/>
  <c r="W324" i="1"/>
  <c r="Y324" i="1"/>
  <c r="Z324" i="1"/>
  <c r="AA324" i="1"/>
  <c r="AC324" i="1"/>
  <c r="AE324" i="1"/>
  <c r="AF324" i="1"/>
  <c r="AG324" i="1"/>
  <c r="AK324" i="1"/>
  <c r="AS324" i="1"/>
  <c r="AT324" i="1"/>
  <c r="B325" i="1"/>
  <c r="C325" i="1"/>
  <c r="D325" i="1"/>
  <c r="E325" i="1"/>
  <c r="F325" i="1"/>
  <c r="H325" i="1"/>
  <c r="I325" i="1"/>
  <c r="J325" i="1"/>
  <c r="K325" i="1"/>
  <c r="L325" i="1"/>
  <c r="M325" i="1"/>
  <c r="N325" i="1"/>
  <c r="O325" i="1"/>
  <c r="W325" i="1"/>
  <c r="Y325" i="1"/>
  <c r="Z325" i="1"/>
  <c r="AA325" i="1"/>
  <c r="AC325" i="1"/>
  <c r="AE325" i="1"/>
  <c r="AF325" i="1"/>
  <c r="AG325" i="1"/>
  <c r="AK325" i="1"/>
  <c r="AS325" i="1"/>
  <c r="AT325" i="1"/>
  <c r="B326" i="1"/>
  <c r="C326" i="1"/>
  <c r="D326" i="1"/>
  <c r="E326" i="1"/>
  <c r="F326" i="1"/>
  <c r="H326" i="1"/>
  <c r="I326" i="1"/>
  <c r="J326" i="1"/>
  <c r="K326" i="1"/>
  <c r="L326" i="1"/>
  <c r="M326" i="1"/>
  <c r="N326" i="1"/>
  <c r="O326" i="1"/>
  <c r="S326" i="1"/>
  <c r="T326" i="1"/>
  <c r="U326" i="1"/>
  <c r="W326" i="1"/>
  <c r="Y326" i="1"/>
  <c r="Z326" i="1"/>
  <c r="AA326" i="1"/>
  <c r="AC326" i="1"/>
  <c r="AE326" i="1"/>
  <c r="AF326" i="1"/>
  <c r="AG326" i="1"/>
  <c r="AK326" i="1"/>
  <c r="AS326" i="1"/>
  <c r="AT326" i="1"/>
  <c r="B327" i="1"/>
  <c r="C327" i="1"/>
  <c r="D327" i="1"/>
  <c r="E327" i="1"/>
  <c r="F327" i="1"/>
  <c r="G327" i="1"/>
  <c r="H327" i="1"/>
  <c r="I327" i="1"/>
  <c r="J327" i="1"/>
  <c r="K327" i="1"/>
  <c r="L327" i="1"/>
  <c r="M327" i="1"/>
  <c r="N327" i="1"/>
  <c r="O327" i="1"/>
  <c r="W327" i="1"/>
  <c r="Y327" i="1"/>
  <c r="Z327" i="1"/>
  <c r="AA327" i="1"/>
  <c r="AC327" i="1"/>
  <c r="AE327" i="1"/>
  <c r="AF327" i="1"/>
  <c r="AG327" i="1"/>
  <c r="AK327" i="1"/>
  <c r="AS327" i="1"/>
  <c r="AT327" i="1"/>
  <c r="B328" i="1"/>
  <c r="C328" i="1"/>
  <c r="D328" i="1"/>
  <c r="E328" i="1"/>
  <c r="F328" i="1"/>
  <c r="H328" i="1"/>
  <c r="I328" i="1"/>
  <c r="J328" i="1"/>
  <c r="K328" i="1"/>
  <c r="L328" i="1"/>
  <c r="M328" i="1"/>
  <c r="N328" i="1"/>
  <c r="O328" i="1"/>
  <c r="W328" i="1"/>
  <c r="Y328" i="1"/>
  <c r="Z328" i="1"/>
  <c r="AA328" i="1"/>
  <c r="AC328" i="1"/>
  <c r="AE328" i="1"/>
  <c r="AF328" i="1"/>
  <c r="AG328" i="1"/>
  <c r="AK328" i="1"/>
  <c r="AS328" i="1"/>
  <c r="AT328" i="1"/>
  <c r="B329" i="1"/>
  <c r="C329" i="1"/>
  <c r="D329" i="1"/>
  <c r="E329" i="1"/>
  <c r="F329" i="1"/>
  <c r="H329" i="1"/>
  <c r="I329" i="1"/>
  <c r="J329" i="1"/>
  <c r="K329" i="1"/>
  <c r="L329" i="1"/>
  <c r="M329" i="1"/>
  <c r="N329" i="1"/>
  <c r="O329" i="1"/>
  <c r="W329" i="1"/>
  <c r="Y329" i="1"/>
  <c r="Z329" i="1"/>
  <c r="AA329" i="1"/>
  <c r="AC329" i="1"/>
  <c r="AE329" i="1"/>
  <c r="AF329" i="1"/>
  <c r="AG329" i="1"/>
  <c r="AK329" i="1"/>
  <c r="AS329" i="1"/>
  <c r="AT329" i="1"/>
  <c r="B330" i="1"/>
  <c r="C330" i="1"/>
  <c r="D330" i="1"/>
  <c r="E330" i="1"/>
  <c r="F330" i="1"/>
  <c r="H330" i="1"/>
  <c r="I330" i="1"/>
  <c r="J330" i="1"/>
  <c r="K330" i="1"/>
  <c r="L330" i="1"/>
  <c r="M330" i="1"/>
  <c r="N330" i="1"/>
  <c r="O330" i="1"/>
  <c r="S330" i="1"/>
  <c r="T330" i="1"/>
  <c r="U330" i="1"/>
  <c r="W330" i="1"/>
  <c r="Y330" i="1"/>
  <c r="Z330" i="1"/>
  <c r="AA330" i="1"/>
  <c r="AC330" i="1"/>
  <c r="AE330" i="1"/>
  <c r="AF330" i="1"/>
  <c r="AG330" i="1"/>
  <c r="AK330" i="1"/>
  <c r="AS330" i="1"/>
  <c r="AT330" i="1"/>
  <c r="B331" i="1"/>
  <c r="C331" i="1"/>
  <c r="D331" i="1"/>
  <c r="E331" i="1"/>
  <c r="F331" i="1"/>
  <c r="G331" i="1"/>
  <c r="H331" i="1"/>
  <c r="I331" i="1"/>
  <c r="J331" i="1"/>
  <c r="K331" i="1"/>
  <c r="L331" i="1"/>
  <c r="M331" i="1"/>
  <c r="N331" i="1"/>
  <c r="O331" i="1"/>
  <c r="W331" i="1"/>
  <c r="Y331" i="1"/>
  <c r="Z331" i="1"/>
  <c r="AA331" i="1"/>
  <c r="AC331" i="1"/>
  <c r="AE331" i="1"/>
  <c r="AF331" i="1"/>
  <c r="AG331" i="1"/>
  <c r="AK331" i="1"/>
  <c r="AS331" i="1"/>
  <c r="AT331" i="1"/>
  <c r="B332" i="1"/>
  <c r="C332" i="1"/>
  <c r="D332" i="1"/>
  <c r="E332" i="1"/>
  <c r="F332" i="1"/>
  <c r="H332" i="1"/>
  <c r="I332" i="1"/>
  <c r="J332" i="1"/>
  <c r="K332" i="1"/>
  <c r="L332" i="1"/>
  <c r="M332" i="1"/>
  <c r="N332" i="1"/>
  <c r="O332" i="1"/>
  <c r="S332" i="1"/>
  <c r="T332" i="1"/>
  <c r="U332" i="1"/>
  <c r="W332" i="1"/>
  <c r="Y332" i="1"/>
  <c r="Z332" i="1"/>
  <c r="AA332" i="1"/>
  <c r="AC332" i="1"/>
  <c r="AE332" i="1"/>
  <c r="AF332" i="1"/>
  <c r="AG332" i="1"/>
  <c r="AK332" i="1"/>
  <c r="AS332" i="1"/>
  <c r="AT332" i="1"/>
  <c r="B333" i="1"/>
  <c r="C333" i="1"/>
  <c r="D333" i="1"/>
  <c r="E333" i="1"/>
  <c r="F333" i="1"/>
  <c r="G333" i="1"/>
  <c r="H333" i="1"/>
  <c r="I333" i="1"/>
  <c r="J333" i="1"/>
  <c r="K333" i="1"/>
  <c r="L333" i="1"/>
  <c r="M333" i="1"/>
  <c r="N333" i="1"/>
  <c r="O333" i="1"/>
  <c r="W333" i="1"/>
  <c r="Y333" i="1"/>
  <c r="Z333" i="1"/>
  <c r="AA333" i="1"/>
  <c r="AC333" i="1"/>
  <c r="AE333" i="1"/>
  <c r="AF333" i="1"/>
  <c r="AG333" i="1"/>
  <c r="AK333" i="1"/>
  <c r="AS333" i="1"/>
  <c r="AT333" i="1"/>
  <c r="B334" i="1"/>
  <c r="C334" i="1"/>
  <c r="D334" i="1"/>
  <c r="E334" i="1"/>
  <c r="F334" i="1"/>
  <c r="H334" i="1"/>
  <c r="I334" i="1"/>
  <c r="J334" i="1"/>
  <c r="K334" i="1"/>
  <c r="L334" i="1"/>
  <c r="M334" i="1"/>
  <c r="N334" i="1"/>
  <c r="O334" i="1"/>
  <c r="W334" i="1"/>
  <c r="Y334" i="1"/>
  <c r="Z334" i="1"/>
  <c r="AA334" i="1"/>
  <c r="AC334" i="1"/>
  <c r="AE334" i="1"/>
  <c r="AF334" i="1"/>
  <c r="AG334" i="1"/>
  <c r="AK334" i="1"/>
  <c r="AS334" i="1"/>
  <c r="AT334" i="1"/>
  <c r="B335" i="1"/>
  <c r="C335" i="1"/>
  <c r="D335" i="1"/>
  <c r="E335" i="1"/>
  <c r="F335" i="1"/>
  <c r="H335" i="1"/>
  <c r="I335" i="1"/>
  <c r="J335" i="1"/>
  <c r="K335" i="1"/>
  <c r="L335" i="1"/>
  <c r="M335" i="1"/>
  <c r="N335" i="1"/>
  <c r="O335" i="1"/>
  <c r="W335" i="1"/>
  <c r="Y335" i="1"/>
  <c r="Z335" i="1"/>
  <c r="AA335" i="1"/>
  <c r="AC335" i="1"/>
  <c r="AE335" i="1"/>
  <c r="AF335" i="1"/>
  <c r="AG335" i="1"/>
  <c r="AK335" i="1"/>
  <c r="AS335" i="1"/>
  <c r="AT335" i="1"/>
  <c r="B336" i="1"/>
  <c r="C336" i="1"/>
  <c r="D336" i="1"/>
  <c r="E336" i="1"/>
  <c r="F336" i="1"/>
  <c r="H336" i="1"/>
  <c r="I336" i="1"/>
  <c r="J336" i="1"/>
  <c r="K336" i="1"/>
  <c r="L336" i="1"/>
  <c r="M336" i="1"/>
  <c r="N336" i="1"/>
  <c r="O336" i="1"/>
  <c r="W336" i="1"/>
  <c r="Y336" i="1"/>
  <c r="Z336" i="1"/>
  <c r="AA336" i="1"/>
  <c r="AC336" i="1"/>
  <c r="AE336" i="1"/>
  <c r="AF336" i="1"/>
  <c r="AG336" i="1"/>
  <c r="AK336" i="1"/>
  <c r="AS336" i="1"/>
  <c r="AT336" i="1"/>
  <c r="B337" i="1"/>
  <c r="C337" i="1"/>
  <c r="D337" i="1"/>
  <c r="E337" i="1"/>
  <c r="F337" i="1"/>
  <c r="H337" i="1"/>
  <c r="I337" i="1"/>
  <c r="J337" i="1"/>
  <c r="K337" i="1"/>
  <c r="L337" i="1"/>
  <c r="M337" i="1"/>
  <c r="N337" i="1"/>
  <c r="O337" i="1"/>
  <c r="W337" i="1"/>
  <c r="Y337" i="1"/>
  <c r="Z337" i="1"/>
  <c r="AA337" i="1"/>
  <c r="AC337" i="1"/>
  <c r="AE337" i="1"/>
  <c r="AF337" i="1"/>
  <c r="AG337" i="1"/>
  <c r="AK337" i="1"/>
  <c r="AS337" i="1"/>
  <c r="AT337" i="1"/>
  <c r="B338" i="1"/>
  <c r="C338" i="1"/>
  <c r="D338" i="1"/>
  <c r="E338" i="1"/>
  <c r="F338" i="1"/>
  <c r="H338" i="1"/>
  <c r="I338" i="1"/>
  <c r="J338" i="1"/>
  <c r="K338" i="1"/>
  <c r="L338" i="1"/>
  <c r="M338" i="1"/>
  <c r="N338" i="1"/>
  <c r="O338" i="1"/>
  <c r="W338" i="1"/>
  <c r="Y338" i="1"/>
  <c r="Z338" i="1"/>
  <c r="AA338" i="1"/>
  <c r="AC338" i="1"/>
  <c r="AE338" i="1"/>
  <c r="AF338" i="1"/>
  <c r="AG338" i="1"/>
  <c r="AK338" i="1"/>
  <c r="AS338" i="1"/>
  <c r="AT338" i="1"/>
  <c r="B339" i="1"/>
  <c r="C339" i="1"/>
  <c r="D339" i="1"/>
  <c r="E339" i="1"/>
  <c r="F339" i="1"/>
  <c r="H339" i="1"/>
  <c r="I339" i="1"/>
  <c r="J339" i="1"/>
  <c r="K339" i="1"/>
  <c r="L339" i="1"/>
  <c r="M339" i="1"/>
  <c r="N339" i="1"/>
  <c r="O339" i="1"/>
  <c r="W339" i="1"/>
  <c r="Y339" i="1"/>
  <c r="Z339" i="1"/>
  <c r="AA339" i="1"/>
  <c r="AC339" i="1"/>
  <c r="AE339" i="1"/>
  <c r="AF339" i="1"/>
  <c r="AG339" i="1"/>
  <c r="AK339" i="1"/>
  <c r="AS339" i="1"/>
  <c r="AT339" i="1"/>
  <c r="B340" i="1"/>
  <c r="C340" i="1"/>
  <c r="D340" i="1"/>
  <c r="E340" i="1"/>
  <c r="F340" i="1"/>
  <c r="H340" i="1"/>
  <c r="I340" i="1"/>
  <c r="J340" i="1"/>
  <c r="K340" i="1"/>
  <c r="L340" i="1"/>
  <c r="M340" i="1"/>
  <c r="N340" i="1"/>
  <c r="O340" i="1"/>
  <c r="W340" i="1"/>
  <c r="Y340" i="1"/>
  <c r="Z340" i="1"/>
  <c r="AA340" i="1"/>
  <c r="AC340" i="1"/>
  <c r="AE340" i="1"/>
  <c r="AF340" i="1"/>
  <c r="AG340" i="1"/>
  <c r="AK340" i="1"/>
  <c r="AS340" i="1"/>
  <c r="AT340" i="1"/>
  <c r="B341" i="1"/>
  <c r="C341" i="1"/>
  <c r="D341" i="1"/>
  <c r="E341" i="1"/>
  <c r="F341" i="1"/>
  <c r="H341" i="1"/>
  <c r="I341" i="1"/>
  <c r="J341" i="1"/>
  <c r="K341" i="1"/>
  <c r="L341" i="1"/>
  <c r="M341" i="1"/>
  <c r="N341" i="1"/>
  <c r="O341" i="1"/>
  <c r="W341" i="1"/>
  <c r="Y341" i="1"/>
  <c r="Z341" i="1"/>
  <c r="AA341" i="1"/>
  <c r="AC341" i="1"/>
  <c r="AE341" i="1"/>
  <c r="AF341" i="1"/>
  <c r="AG341" i="1"/>
  <c r="AK341" i="1"/>
  <c r="AS341" i="1"/>
  <c r="AT341" i="1"/>
  <c r="B342" i="1"/>
  <c r="C342" i="1"/>
  <c r="D342" i="1"/>
  <c r="E342" i="1"/>
  <c r="F342" i="1"/>
  <c r="H342" i="1"/>
  <c r="I342" i="1"/>
  <c r="J342" i="1"/>
  <c r="K342" i="1"/>
  <c r="L342" i="1"/>
  <c r="M342" i="1"/>
  <c r="N342" i="1"/>
  <c r="O342" i="1"/>
  <c r="W342" i="1"/>
  <c r="Y342" i="1"/>
  <c r="Z342" i="1"/>
  <c r="AA342" i="1"/>
  <c r="AC342" i="1"/>
  <c r="AE342" i="1"/>
  <c r="AF342" i="1"/>
  <c r="AG342" i="1"/>
  <c r="AK342" i="1"/>
  <c r="AS342" i="1"/>
  <c r="AT342" i="1"/>
  <c r="B343" i="1"/>
  <c r="C343" i="1"/>
  <c r="D343" i="1"/>
  <c r="E343" i="1"/>
  <c r="F343" i="1"/>
  <c r="G343" i="1"/>
  <c r="H343" i="1"/>
  <c r="I343" i="1"/>
  <c r="J343" i="1"/>
  <c r="K343" i="1"/>
  <c r="L343" i="1"/>
  <c r="M343" i="1"/>
  <c r="N343" i="1"/>
  <c r="O343" i="1"/>
  <c r="W343" i="1"/>
  <c r="Y343" i="1"/>
  <c r="Z343" i="1"/>
  <c r="AA343" i="1"/>
  <c r="AC343" i="1"/>
  <c r="AE343" i="1"/>
  <c r="AF343" i="1"/>
  <c r="AG343" i="1"/>
  <c r="AK343" i="1"/>
  <c r="AS343" i="1"/>
  <c r="AT343" i="1"/>
  <c r="B344" i="1"/>
  <c r="C344" i="1"/>
  <c r="D344" i="1"/>
  <c r="E344" i="1"/>
  <c r="F344" i="1"/>
  <c r="H344" i="1"/>
  <c r="I344" i="1"/>
  <c r="J344" i="1"/>
  <c r="K344" i="1"/>
  <c r="L344" i="1"/>
  <c r="M344" i="1"/>
  <c r="N344" i="1"/>
  <c r="O344" i="1"/>
  <c r="W344" i="1"/>
  <c r="Y344" i="1"/>
  <c r="Z344" i="1"/>
  <c r="AA344" i="1"/>
  <c r="AC344" i="1"/>
  <c r="AE344" i="1"/>
  <c r="AF344" i="1"/>
  <c r="AG344" i="1"/>
  <c r="AK344" i="1"/>
  <c r="AS344" i="1"/>
  <c r="AT344" i="1"/>
  <c r="B345" i="1"/>
  <c r="C345" i="1"/>
  <c r="D345" i="1"/>
  <c r="E345" i="1"/>
  <c r="F345" i="1"/>
  <c r="H345" i="1"/>
  <c r="I345" i="1"/>
  <c r="J345" i="1"/>
  <c r="K345" i="1"/>
  <c r="L345" i="1"/>
  <c r="M345" i="1"/>
  <c r="N345" i="1"/>
  <c r="O345" i="1"/>
  <c r="W345" i="1"/>
  <c r="Y345" i="1"/>
  <c r="Z345" i="1"/>
  <c r="AA345" i="1"/>
  <c r="AC345" i="1"/>
  <c r="AE345" i="1"/>
  <c r="AF345" i="1"/>
  <c r="AG345" i="1"/>
  <c r="AK345" i="1"/>
  <c r="AS345" i="1"/>
  <c r="AT345" i="1"/>
  <c r="B346" i="1"/>
  <c r="C346" i="1"/>
  <c r="D346" i="1"/>
  <c r="E346" i="1"/>
  <c r="F346" i="1"/>
  <c r="H346" i="1"/>
  <c r="I346" i="1"/>
  <c r="J346" i="1"/>
  <c r="K346" i="1"/>
  <c r="L346" i="1"/>
  <c r="M346" i="1"/>
  <c r="N346" i="1"/>
  <c r="O346" i="1"/>
  <c r="W346" i="1"/>
  <c r="Y346" i="1"/>
  <c r="Z346" i="1"/>
  <c r="AA346" i="1"/>
  <c r="AC346" i="1"/>
  <c r="AE346" i="1"/>
  <c r="AF346" i="1"/>
  <c r="AG346" i="1"/>
  <c r="AK346" i="1"/>
  <c r="AS346" i="1"/>
  <c r="AT346" i="1"/>
  <c r="B347" i="1"/>
  <c r="C347" i="1"/>
  <c r="D347" i="1"/>
  <c r="E347" i="1"/>
  <c r="F347" i="1"/>
  <c r="H347" i="1"/>
  <c r="I347" i="1"/>
  <c r="J347" i="1"/>
  <c r="K347" i="1"/>
  <c r="L347" i="1"/>
  <c r="M347" i="1"/>
  <c r="N347" i="1"/>
  <c r="O347" i="1"/>
  <c r="S347" i="1"/>
  <c r="T347" i="1"/>
  <c r="U347" i="1"/>
  <c r="W347" i="1"/>
  <c r="Y347" i="1"/>
  <c r="Z347" i="1"/>
  <c r="AA347" i="1"/>
  <c r="AC347" i="1"/>
  <c r="AE347" i="1"/>
  <c r="AF347" i="1"/>
  <c r="AG347" i="1"/>
  <c r="AK347" i="1"/>
  <c r="AS347" i="1"/>
  <c r="AT347" i="1"/>
  <c r="B348" i="1"/>
  <c r="C348" i="1"/>
  <c r="D348" i="1"/>
  <c r="E348" i="1"/>
  <c r="F348" i="1"/>
  <c r="H348" i="1"/>
  <c r="I348" i="1"/>
  <c r="J348" i="1"/>
  <c r="K348" i="1"/>
  <c r="L348" i="1"/>
  <c r="M348" i="1"/>
  <c r="N348" i="1"/>
  <c r="O348" i="1"/>
  <c r="W348" i="1"/>
  <c r="Y348" i="1"/>
  <c r="Z348" i="1"/>
  <c r="AA348" i="1"/>
  <c r="AC348" i="1"/>
  <c r="AE348" i="1"/>
  <c r="AF348" i="1"/>
  <c r="AG348" i="1"/>
  <c r="AK348" i="1"/>
  <c r="AS348" i="1"/>
  <c r="AT348" i="1"/>
  <c r="B349" i="1"/>
  <c r="C349" i="1"/>
  <c r="D349" i="1"/>
  <c r="E349" i="1"/>
  <c r="F349" i="1"/>
  <c r="H349" i="1"/>
  <c r="I349" i="1"/>
  <c r="J349" i="1"/>
  <c r="K349" i="1"/>
  <c r="L349" i="1"/>
  <c r="M349" i="1"/>
  <c r="N349" i="1"/>
  <c r="O349" i="1"/>
  <c r="W349" i="1"/>
  <c r="Y349" i="1"/>
  <c r="Z349" i="1"/>
  <c r="AA349" i="1"/>
  <c r="AC349" i="1"/>
  <c r="AE349" i="1"/>
  <c r="AF349" i="1"/>
  <c r="AG349" i="1"/>
  <c r="AK349" i="1"/>
  <c r="AS349" i="1"/>
  <c r="AT349" i="1"/>
  <c r="B350" i="1"/>
  <c r="C350" i="1"/>
  <c r="D350" i="1"/>
  <c r="E350" i="1"/>
  <c r="F350" i="1"/>
  <c r="H350" i="1"/>
  <c r="I350" i="1"/>
  <c r="J350" i="1"/>
  <c r="K350" i="1"/>
  <c r="L350" i="1"/>
  <c r="M350" i="1"/>
  <c r="N350" i="1"/>
  <c r="O350" i="1"/>
  <c r="W350" i="1"/>
  <c r="Y350" i="1"/>
  <c r="Z350" i="1"/>
  <c r="AA350" i="1"/>
  <c r="AC350" i="1"/>
  <c r="AE350" i="1"/>
  <c r="AF350" i="1"/>
  <c r="AG350" i="1"/>
  <c r="AK350" i="1"/>
  <c r="AS350" i="1"/>
  <c r="AT350" i="1"/>
  <c r="B351" i="1"/>
  <c r="C351" i="1"/>
  <c r="D351" i="1"/>
  <c r="E351" i="1"/>
  <c r="F351" i="1"/>
  <c r="H351" i="1"/>
  <c r="I351" i="1"/>
  <c r="J351" i="1"/>
  <c r="K351" i="1"/>
  <c r="L351" i="1"/>
  <c r="M351" i="1"/>
  <c r="N351" i="1"/>
  <c r="O351" i="1"/>
  <c r="W351" i="1"/>
  <c r="Y351" i="1"/>
  <c r="Z351" i="1"/>
  <c r="AA351" i="1"/>
  <c r="AC351" i="1"/>
  <c r="AE351" i="1"/>
  <c r="AF351" i="1"/>
  <c r="AG351" i="1"/>
  <c r="AK351" i="1"/>
  <c r="AS351" i="1"/>
  <c r="AT351" i="1"/>
  <c r="B352" i="1"/>
  <c r="C352" i="1"/>
  <c r="D352" i="1"/>
  <c r="E352" i="1"/>
  <c r="F352" i="1"/>
  <c r="G352" i="1"/>
  <c r="H352" i="1"/>
  <c r="I352" i="1"/>
  <c r="J352" i="1"/>
  <c r="K352" i="1"/>
  <c r="L352" i="1"/>
  <c r="M352" i="1"/>
  <c r="N352" i="1"/>
  <c r="O352" i="1"/>
  <c r="W352" i="1"/>
  <c r="Y352" i="1"/>
  <c r="Z352" i="1"/>
  <c r="AA352" i="1"/>
  <c r="AC352" i="1"/>
  <c r="AE352" i="1"/>
  <c r="AF352" i="1"/>
  <c r="AG352" i="1"/>
  <c r="AK352" i="1"/>
  <c r="AS352" i="1"/>
  <c r="AT352" i="1"/>
  <c r="B353" i="1"/>
  <c r="C353" i="1"/>
  <c r="D353" i="1"/>
  <c r="E353" i="1"/>
  <c r="F353" i="1"/>
  <c r="H353" i="1"/>
  <c r="I353" i="1"/>
  <c r="J353" i="1"/>
  <c r="K353" i="1"/>
  <c r="L353" i="1"/>
  <c r="M353" i="1"/>
  <c r="N353" i="1"/>
  <c r="O353" i="1"/>
  <c r="W353" i="1"/>
  <c r="Y353" i="1"/>
  <c r="Z353" i="1"/>
  <c r="AA353" i="1"/>
  <c r="AC353" i="1"/>
  <c r="AE353" i="1"/>
  <c r="AF353" i="1"/>
  <c r="AK353" i="1"/>
  <c r="AS353" i="1"/>
  <c r="AT353" i="1"/>
  <c r="B354" i="1"/>
  <c r="C354" i="1"/>
  <c r="D354" i="1"/>
  <c r="E354" i="1"/>
  <c r="F354" i="1"/>
  <c r="H354" i="1"/>
  <c r="I354" i="1"/>
  <c r="J354" i="1"/>
  <c r="K354" i="1"/>
  <c r="L354" i="1"/>
  <c r="M354" i="1"/>
  <c r="N354" i="1"/>
  <c r="O354" i="1"/>
  <c r="W354" i="1"/>
  <c r="Y354" i="1"/>
  <c r="Z354" i="1"/>
  <c r="AA354" i="1"/>
  <c r="AC354" i="1"/>
  <c r="AE354" i="1"/>
  <c r="AF354" i="1"/>
  <c r="AG354" i="1"/>
  <c r="AK354" i="1"/>
  <c r="AS354" i="1"/>
  <c r="AT354" i="1"/>
  <c r="B355" i="1"/>
  <c r="C355" i="1"/>
  <c r="D355" i="1"/>
  <c r="E355" i="1"/>
  <c r="F355" i="1"/>
  <c r="H355" i="1"/>
  <c r="I355" i="1"/>
  <c r="J355" i="1"/>
  <c r="K355" i="1"/>
  <c r="L355" i="1"/>
  <c r="M355" i="1"/>
  <c r="N355" i="1"/>
  <c r="O355" i="1"/>
  <c r="W355" i="1"/>
  <c r="Y355" i="1"/>
  <c r="Z355" i="1"/>
  <c r="AA355" i="1"/>
  <c r="AC355" i="1"/>
  <c r="AE355" i="1"/>
  <c r="AF355" i="1"/>
  <c r="AG355" i="1"/>
  <c r="AK355" i="1"/>
  <c r="AS355" i="1"/>
  <c r="AT355" i="1"/>
  <c r="B356" i="1"/>
  <c r="C356" i="1"/>
  <c r="D356" i="1"/>
  <c r="E356" i="1"/>
  <c r="F356" i="1"/>
  <c r="H356" i="1"/>
  <c r="I356" i="1"/>
  <c r="J356" i="1"/>
  <c r="K356" i="1"/>
  <c r="L356" i="1"/>
  <c r="M356" i="1"/>
  <c r="N356" i="1"/>
  <c r="O356" i="1"/>
  <c r="W356" i="1"/>
  <c r="Y356" i="1"/>
  <c r="Z356" i="1"/>
  <c r="AA356" i="1"/>
  <c r="AC356" i="1"/>
  <c r="AE356" i="1"/>
  <c r="AF356" i="1"/>
  <c r="AG356" i="1"/>
  <c r="AK356" i="1"/>
  <c r="AS356" i="1"/>
  <c r="AT356" i="1"/>
  <c r="B357" i="1"/>
  <c r="C357" i="1"/>
  <c r="D357" i="1"/>
  <c r="E357" i="1"/>
  <c r="F357" i="1"/>
  <c r="H357" i="1"/>
  <c r="I357" i="1"/>
  <c r="J357" i="1"/>
  <c r="K357" i="1"/>
  <c r="L357" i="1"/>
  <c r="M357" i="1"/>
  <c r="N357" i="1"/>
  <c r="O357" i="1"/>
  <c r="W357" i="1"/>
  <c r="Y357" i="1"/>
  <c r="Z357" i="1"/>
  <c r="AA357" i="1"/>
  <c r="AC357" i="1"/>
  <c r="AE357" i="1"/>
  <c r="AF357" i="1"/>
  <c r="AG357" i="1"/>
  <c r="AK357" i="1"/>
  <c r="AS357" i="1"/>
  <c r="AT357" i="1"/>
  <c r="B358" i="1"/>
  <c r="C358" i="1"/>
  <c r="D358" i="1"/>
  <c r="E358" i="1"/>
  <c r="F358" i="1"/>
  <c r="H358" i="1"/>
  <c r="I358" i="1"/>
  <c r="J358" i="1"/>
  <c r="K358" i="1"/>
  <c r="L358" i="1"/>
  <c r="M358" i="1"/>
  <c r="N358" i="1"/>
  <c r="O358" i="1"/>
  <c r="S358" i="1"/>
  <c r="T358" i="1"/>
  <c r="U358" i="1"/>
  <c r="W358" i="1"/>
  <c r="Y358" i="1"/>
  <c r="Z358" i="1"/>
  <c r="AA358" i="1"/>
  <c r="AC358" i="1"/>
  <c r="AE358" i="1"/>
  <c r="AF358" i="1"/>
  <c r="AG358" i="1"/>
  <c r="AK358" i="1"/>
  <c r="AS358" i="1"/>
  <c r="AT358" i="1"/>
  <c r="B359" i="1"/>
  <c r="C359" i="1"/>
  <c r="D359" i="1"/>
  <c r="E359" i="1"/>
  <c r="F359" i="1"/>
  <c r="H359" i="1"/>
  <c r="I359" i="1"/>
  <c r="J359" i="1"/>
  <c r="K359" i="1"/>
  <c r="L359" i="1"/>
  <c r="M359" i="1"/>
  <c r="N359" i="1"/>
  <c r="O359" i="1"/>
  <c r="W359" i="1"/>
  <c r="Y359" i="1"/>
  <c r="Z359" i="1"/>
  <c r="AA359" i="1"/>
  <c r="AC359" i="1"/>
  <c r="AE359" i="1"/>
  <c r="AF359" i="1"/>
  <c r="AG359" i="1"/>
  <c r="AK359" i="1"/>
  <c r="AS359" i="1"/>
  <c r="AT359" i="1"/>
  <c r="B360" i="1"/>
  <c r="C360" i="1"/>
  <c r="D360" i="1"/>
  <c r="E360" i="1"/>
  <c r="F360" i="1"/>
  <c r="H360" i="1"/>
  <c r="I360" i="1"/>
  <c r="J360" i="1"/>
  <c r="K360" i="1"/>
  <c r="L360" i="1"/>
  <c r="M360" i="1"/>
  <c r="N360" i="1"/>
  <c r="O360" i="1"/>
  <c r="W360" i="1"/>
  <c r="Y360" i="1"/>
  <c r="Z360" i="1"/>
  <c r="AA360" i="1"/>
  <c r="AC360" i="1"/>
  <c r="AE360" i="1"/>
  <c r="AF360" i="1"/>
  <c r="AG360" i="1"/>
  <c r="AK360" i="1"/>
  <c r="AS360" i="1"/>
  <c r="AT360" i="1"/>
  <c r="B361" i="1"/>
  <c r="C361" i="1"/>
  <c r="D361" i="1"/>
  <c r="E361" i="1"/>
  <c r="F361" i="1"/>
  <c r="H361" i="1"/>
  <c r="I361" i="1"/>
  <c r="J361" i="1"/>
  <c r="K361" i="1"/>
  <c r="L361" i="1"/>
  <c r="M361" i="1"/>
  <c r="N361" i="1"/>
  <c r="O361" i="1"/>
  <c r="W361" i="1"/>
  <c r="Y361" i="1"/>
  <c r="Z361" i="1"/>
  <c r="AA361" i="1"/>
  <c r="AC361" i="1"/>
  <c r="AE361" i="1"/>
  <c r="AF361" i="1"/>
  <c r="AG361" i="1"/>
  <c r="AK361" i="1"/>
  <c r="AS361" i="1"/>
  <c r="AT361" i="1"/>
  <c r="B362" i="1"/>
  <c r="C362" i="1"/>
  <c r="D362" i="1"/>
  <c r="E362" i="1"/>
  <c r="F362" i="1"/>
  <c r="H362" i="1"/>
  <c r="I362" i="1"/>
  <c r="J362" i="1"/>
  <c r="K362" i="1"/>
  <c r="L362" i="1"/>
  <c r="M362" i="1"/>
  <c r="N362" i="1"/>
  <c r="O362" i="1"/>
  <c r="W362" i="1"/>
  <c r="Y362" i="1"/>
  <c r="Z362" i="1"/>
  <c r="AA362" i="1"/>
  <c r="AC362" i="1"/>
  <c r="AE362" i="1"/>
  <c r="AF362" i="1"/>
  <c r="AG362" i="1"/>
  <c r="AK362" i="1"/>
  <c r="AS362" i="1"/>
  <c r="AT362" i="1"/>
  <c r="B363" i="1"/>
  <c r="C363" i="1"/>
  <c r="D363" i="1"/>
  <c r="E363" i="1"/>
  <c r="F363" i="1"/>
  <c r="H363" i="1"/>
  <c r="I363" i="1"/>
  <c r="J363" i="1"/>
  <c r="K363" i="1"/>
  <c r="L363" i="1"/>
  <c r="M363" i="1"/>
  <c r="N363" i="1"/>
  <c r="O363" i="1"/>
  <c r="W363" i="1"/>
  <c r="Y363" i="1"/>
  <c r="Z363" i="1"/>
  <c r="AA363" i="1"/>
  <c r="AC363" i="1"/>
  <c r="AE363" i="1"/>
  <c r="AF363" i="1"/>
  <c r="AG363" i="1"/>
  <c r="AK363" i="1"/>
  <c r="AS363" i="1"/>
  <c r="AT363" i="1"/>
  <c r="B364" i="1"/>
  <c r="C364" i="1"/>
  <c r="D364" i="1"/>
  <c r="E364" i="1"/>
  <c r="F364" i="1"/>
  <c r="H364" i="1"/>
  <c r="I364" i="1"/>
  <c r="J364" i="1"/>
  <c r="K364" i="1"/>
  <c r="L364" i="1"/>
  <c r="M364" i="1"/>
  <c r="N364" i="1"/>
  <c r="O364" i="1"/>
  <c r="W364" i="1"/>
  <c r="Y364" i="1"/>
  <c r="Z364" i="1"/>
  <c r="AA364" i="1"/>
  <c r="AC364" i="1"/>
  <c r="AE364" i="1"/>
  <c r="AF364" i="1"/>
  <c r="AG364" i="1"/>
  <c r="AK364" i="1"/>
  <c r="AS364" i="1"/>
  <c r="AT364" i="1"/>
  <c r="B365" i="1"/>
  <c r="C365" i="1"/>
  <c r="D365" i="1"/>
  <c r="E365" i="1"/>
  <c r="H365" i="1"/>
  <c r="I365" i="1"/>
  <c r="J365" i="1"/>
  <c r="K365" i="1"/>
  <c r="L365" i="1"/>
  <c r="M365" i="1"/>
  <c r="N365" i="1"/>
  <c r="O365" i="1"/>
  <c r="W365" i="1"/>
  <c r="Y365" i="1"/>
  <c r="Z365" i="1"/>
  <c r="AA365" i="1"/>
  <c r="AC365" i="1"/>
  <c r="AE365" i="1"/>
  <c r="AF365" i="1"/>
  <c r="AG365" i="1"/>
  <c r="AK365" i="1"/>
  <c r="AS365" i="1"/>
  <c r="AT365" i="1"/>
  <c r="B366" i="1"/>
  <c r="C366" i="1"/>
  <c r="D366" i="1"/>
  <c r="E366" i="1"/>
  <c r="F366" i="1"/>
  <c r="H366" i="1"/>
  <c r="I366" i="1"/>
  <c r="J366" i="1"/>
  <c r="K366" i="1"/>
  <c r="L366" i="1"/>
  <c r="M366" i="1"/>
  <c r="N366" i="1"/>
  <c r="O366" i="1"/>
  <c r="W366" i="1"/>
  <c r="Y366" i="1"/>
  <c r="Z366" i="1"/>
  <c r="AA366" i="1"/>
  <c r="AC366" i="1"/>
  <c r="AE366" i="1"/>
  <c r="AF366" i="1"/>
  <c r="AG366" i="1"/>
  <c r="AK366" i="1"/>
  <c r="AS366" i="1"/>
  <c r="AT366" i="1"/>
  <c r="B367" i="1"/>
  <c r="C367" i="1"/>
  <c r="D367" i="1"/>
  <c r="E367" i="1"/>
  <c r="F367" i="1"/>
  <c r="G367" i="1"/>
  <c r="H367" i="1"/>
  <c r="I367" i="1"/>
  <c r="J367" i="1"/>
  <c r="K367" i="1"/>
  <c r="L367" i="1"/>
  <c r="M367" i="1"/>
  <c r="N367" i="1"/>
  <c r="O367" i="1"/>
  <c r="W367" i="1"/>
  <c r="Y367" i="1"/>
  <c r="Z367" i="1"/>
  <c r="AA367" i="1"/>
  <c r="AC367" i="1"/>
  <c r="AE367" i="1"/>
  <c r="AF367" i="1"/>
  <c r="AG367" i="1"/>
  <c r="AK367" i="1"/>
  <c r="AS367" i="1"/>
  <c r="AT367" i="1"/>
  <c r="B368" i="1"/>
  <c r="C368" i="1"/>
  <c r="D368" i="1"/>
  <c r="E368" i="1"/>
  <c r="F368" i="1"/>
  <c r="H368" i="1"/>
  <c r="I368" i="1"/>
  <c r="J368" i="1"/>
  <c r="K368" i="1"/>
  <c r="L368" i="1"/>
  <c r="M368" i="1"/>
  <c r="N368" i="1"/>
  <c r="O368" i="1"/>
  <c r="W368" i="1"/>
  <c r="Y368" i="1"/>
  <c r="Z368" i="1"/>
  <c r="AA368" i="1"/>
  <c r="AC368" i="1"/>
  <c r="AE368" i="1"/>
  <c r="AF368" i="1"/>
  <c r="AG368" i="1"/>
  <c r="AK368" i="1"/>
  <c r="AS368" i="1"/>
  <c r="AT368" i="1"/>
  <c r="B369" i="1"/>
  <c r="C369" i="1"/>
  <c r="D369" i="1"/>
  <c r="E369" i="1"/>
  <c r="F369" i="1"/>
  <c r="H369" i="1"/>
  <c r="I369" i="1"/>
  <c r="J369" i="1"/>
  <c r="K369" i="1"/>
  <c r="L369" i="1"/>
  <c r="M369" i="1"/>
  <c r="N369" i="1"/>
  <c r="O369" i="1"/>
  <c r="W369" i="1"/>
  <c r="Y369" i="1"/>
  <c r="Z369" i="1"/>
  <c r="AA369" i="1"/>
  <c r="AC369" i="1"/>
  <c r="AE369" i="1"/>
  <c r="AF369" i="1"/>
  <c r="AG369" i="1"/>
  <c r="AK369" i="1"/>
  <c r="AS369" i="1"/>
  <c r="AT369" i="1"/>
  <c r="B370" i="1"/>
  <c r="C370" i="1"/>
  <c r="D370" i="1"/>
  <c r="E370" i="1"/>
  <c r="F370" i="1"/>
  <c r="G370" i="1"/>
  <c r="H370" i="1"/>
  <c r="I370" i="1"/>
  <c r="J370" i="1"/>
  <c r="K370" i="1"/>
  <c r="L370" i="1"/>
  <c r="M370" i="1"/>
  <c r="N370" i="1"/>
  <c r="O370" i="1"/>
  <c r="W370" i="1"/>
  <c r="Y370" i="1"/>
  <c r="Z370" i="1"/>
  <c r="AA370" i="1"/>
  <c r="AC370" i="1"/>
  <c r="AE370" i="1"/>
  <c r="AF370" i="1"/>
  <c r="AG370" i="1"/>
  <c r="AK370" i="1"/>
  <c r="AS370" i="1"/>
  <c r="AT370" i="1"/>
  <c r="B371" i="1"/>
  <c r="C371" i="1"/>
  <c r="E371" i="1"/>
  <c r="F371" i="1"/>
  <c r="H371" i="1"/>
  <c r="I371" i="1"/>
  <c r="J371" i="1"/>
  <c r="K371" i="1"/>
  <c r="L371" i="1"/>
  <c r="M371" i="1"/>
  <c r="N371" i="1"/>
  <c r="O371" i="1"/>
  <c r="W371" i="1"/>
  <c r="Y371" i="1"/>
  <c r="Z371" i="1"/>
  <c r="AA371" i="1"/>
  <c r="AC371" i="1"/>
  <c r="AE371" i="1"/>
  <c r="AF371" i="1"/>
  <c r="AG371" i="1"/>
  <c r="AK371" i="1"/>
  <c r="AS371" i="1"/>
  <c r="AT371" i="1"/>
  <c r="B372" i="1"/>
  <c r="C372" i="1"/>
  <c r="D372" i="1"/>
  <c r="E372" i="1"/>
  <c r="F372" i="1"/>
  <c r="H372" i="1"/>
  <c r="I372" i="1"/>
  <c r="J372" i="1"/>
  <c r="K372" i="1"/>
  <c r="L372" i="1"/>
  <c r="M372" i="1"/>
  <c r="N372" i="1"/>
  <c r="O372" i="1"/>
  <c r="W372" i="1"/>
  <c r="Y372" i="1"/>
  <c r="Z372" i="1"/>
  <c r="AA372" i="1"/>
  <c r="AC372" i="1"/>
  <c r="AE372" i="1"/>
  <c r="AF372" i="1"/>
  <c r="AG372" i="1"/>
  <c r="AK372" i="1"/>
  <c r="AS372" i="1"/>
  <c r="AT372" i="1"/>
  <c r="B373" i="1"/>
  <c r="C373" i="1"/>
  <c r="D373" i="1"/>
  <c r="E373" i="1"/>
  <c r="F373" i="1"/>
  <c r="H373" i="1"/>
  <c r="I373" i="1"/>
  <c r="J373" i="1"/>
  <c r="K373" i="1"/>
  <c r="L373" i="1"/>
  <c r="M373" i="1"/>
  <c r="N373" i="1"/>
  <c r="O373" i="1"/>
  <c r="W373" i="1"/>
  <c r="Y373" i="1"/>
  <c r="Z373" i="1"/>
  <c r="AA373" i="1"/>
  <c r="AC373" i="1"/>
  <c r="AE373" i="1"/>
  <c r="AF373" i="1"/>
  <c r="AG373" i="1"/>
  <c r="AK373" i="1"/>
  <c r="AS373" i="1"/>
  <c r="AT373" i="1"/>
  <c r="B374" i="1"/>
  <c r="C374" i="1"/>
  <c r="D374" i="1"/>
  <c r="E374" i="1"/>
  <c r="F374" i="1"/>
  <c r="H374" i="1"/>
  <c r="I374" i="1"/>
  <c r="J374" i="1"/>
  <c r="K374" i="1"/>
  <c r="L374" i="1"/>
  <c r="M374" i="1"/>
  <c r="N374" i="1"/>
  <c r="O374" i="1"/>
  <c r="W374" i="1"/>
  <c r="Y374" i="1"/>
  <c r="Z374" i="1"/>
  <c r="AA374" i="1"/>
  <c r="AC374" i="1"/>
  <c r="AE374" i="1"/>
  <c r="AF374" i="1"/>
  <c r="AG374" i="1"/>
  <c r="AK374" i="1"/>
  <c r="AS374" i="1"/>
  <c r="AT374" i="1"/>
  <c r="B375" i="1"/>
  <c r="C375" i="1"/>
  <c r="D375" i="1"/>
  <c r="E375" i="1"/>
  <c r="F375" i="1"/>
  <c r="H375" i="1"/>
  <c r="I375" i="1"/>
  <c r="J375" i="1"/>
  <c r="K375" i="1"/>
  <c r="L375" i="1"/>
  <c r="M375" i="1"/>
  <c r="N375" i="1"/>
  <c r="O375" i="1"/>
  <c r="W375" i="1"/>
  <c r="Y375" i="1"/>
  <c r="Z375" i="1"/>
  <c r="AA375" i="1"/>
  <c r="AC375" i="1"/>
  <c r="AE375" i="1"/>
  <c r="AF375" i="1"/>
  <c r="AG375" i="1"/>
  <c r="AK375" i="1"/>
  <c r="AS375" i="1"/>
  <c r="AT375" i="1"/>
  <c r="B376" i="1"/>
  <c r="C376" i="1"/>
  <c r="D376" i="1"/>
  <c r="E376" i="1"/>
  <c r="F376" i="1"/>
  <c r="H376" i="1"/>
  <c r="I376" i="1"/>
  <c r="J376" i="1"/>
  <c r="K376" i="1"/>
  <c r="L376" i="1"/>
  <c r="M376" i="1"/>
  <c r="N376" i="1"/>
  <c r="O376" i="1"/>
  <c r="W376" i="1"/>
  <c r="Y376" i="1"/>
  <c r="Z376" i="1"/>
  <c r="AA376" i="1"/>
  <c r="AC376" i="1"/>
  <c r="AE376" i="1"/>
  <c r="AF376" i="1"/>
  <c r="AG376" i="1"/>
  <c r="AK376" i="1"/>
  <c r="AS376" i="1"/>
  <c r="AT376" i="1"/>
  <c r="B377" i="1"/>
  <c r="C377" i="1"/>
  <c r="D377" i="1"/>
  <c r="E377" i="1"/>
  <c r="F377" i="1"/>
  <c r="G377" i="1"/>
  <c r="H377" i="1"/>
  <c r="I377" i="1"/>
  <c r="J377" i="1"/>
  <c r="K377" i="1"/>
  <c r="L377" i="1"/>
  <c r="M377" i="1"/>
  <c r="N377" i="1"/>
  <c r="O377" i="1"/>
  <c r="W377" i="1"/>
  <c r="Y377" i="1"/>
  <c r="Z377" i="1"/>
  <c r="AA377" i="1"/>
  <c r="AC377" i="1"/>
  <c r="AE377" i="1"/>
  <c r="AF377" i="1"/>
  <c r="AG377" i="1"/>
  <c r="AK377" i="1"/>
  <c r="AS377" i="1"/>
  <c r="AT377" i="1"/>
  <c r="B378" i="1"/>
  <c r="C378" i="1"/>
  <c r="D378" i="1"/>
  <c r="E378" i="1"/>
  <c r="F378" i="1"/>
  <c r="G378" i="1"/>
  <c r="H378" i="1"/>
  <c r="I378" i="1"/>
  <c r="J378" i="1"/>
  <c r="K378" i="1"/>
  <c r="L378" i="1"/>
  <c r="M378" i="1"/>
  <c r="N378" i="1"/>
  <c r="O378" i="1"/>
  <c r="W378" i="1"/>
  <c r="Y378" i="1"/>
  <c r="Z378" i="1"/>
  <c r="AA378" i="1"/>
  <c r="AC378" i="1"/>
  <c r="AE378" i="1"/>
  <c r="AF378" i="1"/>
  <c r="AG378" i="1"/>
  <c r="AK378" i="1"/>
  <c r="AS378" i="1"/>
  <c r="AT378" i="1"/>
  <c r="B379" i="1"/>
  <c r="C379" i="1"/>
  <c r="D379" i="1"/>
  <c r="E379" i="1"/>
  <c r="F379" i="1"/>
  <c r="H379" i="1"/>
  <c r="I379" i="1"/>
  <c r="J379" i="1"/>
  <c r="K379" i="1"/>
  <c r="L379" i="1"/>
  <c r="M379" i="1"/>
  <c r="N379" i="1"/>
  <c r="O379" i="1"/>
  <c r="W379" i="1"/>
  <c r="Y379" i="1"/>
  <c r="Z379" i="1"/>
  <c r="AA379" i="1"/>
  <c r="AC379" i="1"/>
  <c r="AE379" i="1"/>
  <c r="AF379" i="1"/>
  <c r="AG379" i="1"/>
  <c r="AK379" i="1"/>
  <c r="AS379" i="1"/>
  <c r="AT379" i="1"/>
  <c r="B380" i="1"/>
  <c r="C380" i="1"/>
  <c r="D380" i="1"/>
  <c r="E380" i="1"/>
  <c r="F380" i="1"/>
  <c r="H380" i="1"/>
  <c r="I380" i="1"/>
  <c r="J380" i="1"/>
  <c r="K380" i="1"/>
  <c r="L380" i="1"/>
  <c r="M380" i="1"/>
  <c r="N380" i="1"/>
  <c r="O380" i="1"/>
  <c r="W380" i="1"/>
  <c r="Y380" i="1"/>
  <c r="Z380" i="1"/>
  <c r="AA380" i="1"/>
  <c r="AC380" i="1"/>
  <c r="AE380" i="1"/>
  <c r="AF380" i="1"/>
  <c r="AG380" i="1"/>
  <c r="AK380" i="1"/>
  <c r="AS380" i="1"/>
  <c r="AT380" i="1"/>
  <c r="B381" i="1"/>
  <c r="C381" i="1"/>
  <c r="D381" i="1"/>
  <c r="E381" i="1"/>
  <c r="F381" i="1"/>
  <c r="H381" i="1"/>
  <c r="I381" i="1"/>
  <c r="J381" i="1"/>
  <c r="K381" i="1"/>
  <c r="L381" i="1"/>
  <c r="M381" i="1"/>
  <c r="N381" i="1"/>
  <c r="O381" i="1"/>
  <c r="W381" i="1"/>
  <c r="Y381" i="1"/>
  <c r="Z381" i="1"/>
  <c r="AA381" i="1"/>
  <c r="AC381" i="1"/>
  <c r="AE381" i="1"/>
  <c r="AF381" i="1"/>
  <c r="AG381" i="1"/>
  <c r="AK381" i="1"/>
  <c r="AS381" i="1"/>
  <c r="AT381" i="1"/>
  <c r="B382" i="1"/>
  <c r="C382" i="1"/>
  <c r="D382" i="1"/>
  <c r="E382" i="1"/>
  <c r="F382" i="1"/>
  <c r="H382" i="1"/>
  <c r="I382" i="1"/>
  <c r="J382" i="1"/>
  <c r="K382" i="1"/>
  <c r="L382" i="1"/>
  <c r="M382" i="1"/>
  <c r="N382" i="1"/>
  <c r="O382" i="1"/>
  <c r="W382" i="1"/>
  <c r="Y382" i="1"/>
  <c r="Z382" i="1"/>
  <c r="AA382" i="1"/>
  <c r="AC382" i="1"/>
  <c r="AE382" i="1"/>
  <c r="AF382" i="1"/>
  <c r="AG382" i="1"/>
  <c r="AK382" i="1"/>
  <c r="AS382" i="1"/>
  <c r="AT382" i="1"/>
  <c r="B383" i="1"/>
  <c r="C383" i="1"/>
  <c r="D383" i="1"/>
  <c r="E383" i="1"/>
  <c r="F383" i="1"/>
  <c r="H383" i="1"/>
  <c r="I383" i="1"/>
  <c r="J383" i="1"/>
  <c r="K383" i="1"/>
  <c r="L383" i="1"/>
  <c r="M383" i="1"/>
  <c r="N383" i="1"/>
  <c r="O383" i="1"/>
  <c r="W383" i="1"/>
  <c r="Y383" i="1"/>
  <c r="Z383" i="1"/>
  <c r="AA383" i="1"/>
  <c r="AC383" i="1"/>
  <c r="AE383" i="1"/>
  <c r="AF383" i="1"/>
  <c r="AG383" i="1"/>
  <c r="AK383" i="1"/>
  <c r="AS383" i="1"/>
  <c r="AT383" i="1"/>
  <c r="B384" i="1"/>
  <c r="C384" i="1"/>
  <c r="D384" i="1"/>
  <c r="E384" i="1"/>
  <c r="F384" i="1"/>
  <c r="H384" i="1"/>
  <c r="I384" i="1"/>
  <c r="J384" i="1"/>
  <c r="K384" i="1"/>
  <c r="L384" i="1"/>
  <c r="M384" i="1"/>
  <c r="N384" i="1"/>
  <c r="O384" i="1"/>
  <c r="W384" i="1"/>
  <c r="Y384" i="1"/>
  <c r="Z384" i="1"/>
  <c r="AA384" i="1"/>
  <c r="AC384" i="1"/>
  <c r="AE384" i="1"/>
  <c r="AF384" i="1"/>
  <c r="AG384" i="1"/>
  <c r="AK384" i="1"/>
  <c r="AS384" i="1"/>
  <c r="AT384" i="1"/>
  <c r="B385" i="1"/>
  <c r="C385" i="1"/>
  <c r="D385" i="1"/>
  <c r="E385" i="1"/>
  <c r="F385" i="1"/>
  <c r="H385" i="1"/>
  <c r="I385" i="1"/>
  <c r="J385" i="1"/>
  <c r="K385" i="1"/>
  <c r="L385" i="1"/>
  <c r="M385" i="1"/>
  <c r="N385" i="1"/>
  <c r="O385" i="1"/>
  <c r="W385" i="1"/>
  <c r="Y385" i="1"/>
  <c r="Z385" i="1"/>
  <c r="AA385" i="1"/>
  <c r="AC385" i="1"/>
  <c r="AE385" i="1"/>
  <c r="AF385" i="1"/>
  <c r="AG385" i="1"/>
  <c r="AK385" i="1"/>
  <c r="AS385" i="1"/>
  <c r="AT385" i="1"/>
  <c r="B386" i="1"/>
  <c r="C386" i="1"/>
  <c r="D386" i="1"/>
  <c r="E386" i="1"/>
  <c r="F386" i="1"/>
  <c r="H386" i="1"/>
  <c r="I386" i="1"/>
  <c r="J386" i="1"/>
  <c r="K386" i="1"/>
  <c r="L386" i="1"/>
  <c r="M386" i="1"/>
  <c r="N386" i="1"/>
  <c r="O386" i="1"/>
  <c r="W386" i="1"/>
  <c r="Y386" i="1"/>
  <c r="Z386" i="1"/>
  <c r="AA386" i="1"/>
  <c r="AC386" i="1"/>
  <c r="AE386" i="1"/>
  <c r="AF386" i="1"/>
  <c r="AG386" i="1"/>
  <c r="AK386" i="1"/>
  <c r="AS386" i="1"/>
  <c r="AT386" i="1"/>
  <c r="AV386" i="1"/>
  <c r="B387" i="1"/>
  <c r="C387" i="1"/>
  <c r="D387" i="1"/>
  <c r="E387" i="1"/>
  <c r="F387" i="1"/>
  <c r="G387" i="1"/>
  <c r="H387" i="1"/>
  <c r="I387" i="1"/>
  <c r="J387" i="1"/>
  <c r="K387" i="1"/>
  <c r="L387" i="1"/>
  <c r="M387" i="1"/>
  <c r="N387" i="1"/>
  <c r="O387" i="1"/>
  <c r="W387" i="1"/>
  <c r="Y387" i="1"/>
  <c r="Z387" i="1"/>
  <c r="AA387" i="1"/>
  <c r="AC387" i="1"/>
  <c r="AE387" i="1"/>
  <c r="AF387" i="1"/>
  <c r="AG387" i="1"/>
  <c r="AK387" i="1"/>
  <c r="AS387" i="1"/>
  <c r="AT387" i="1"/>
  <c r="B388" i="1"/>
  <c r="C388" i="1"/>
  <c r="D388" i="1"/>
  <c r="E388" i="1"/>
  <c r="F388" i="1"/>
  <c r="G388" i="1"/>
  <c r="H388" i="1"/>
  <c r="I388" i="1"/>
  <c r="J388" i="1"/>
  <c r="K388" i="1"/>
  <c r="L388" i="1"/>
  <c r="M388" i="1"/>
  <c r="N388" i="1"/>
  <c r="O388" i="1"/>
  <c r="W388" i="1"/>
  <c r="Y388" i="1"/>
  <c r="Z388" i="1"/>
  <c r="AA388" i="1"/>
  <c r="AC388" i="1"/>
  <c r="AE388" i="1"/>
  <c r="AF388" i="1"/>
  <c r="AG388" i="1"/>
  <c r="AK388" i="1"/>
  <c r="AS388" i="1"/>
  <c r="AT388" i="1"/>
  <c r="B389" i="1"/>
  <c r="C389" i="1"/>
  <c r="D389" i="1"/>
  <c r="E389" i="1"/>
  <c r="F389" i="1"/>
  <c r="H389" i="1"/>
  <c r="I389" i="1"/>
  <c r="J389" i="1"/>
  <c r="K389" i="1"/>
  <c r="L389" i="1"/>
  <c r="M389" i="1"/>
  <c r="N389" i="1"/>
  <c r="O389" i="1"/>
  <c r="W389" i="1"/>
  <c r="Y389" i="1"/>
  <c r="Z389" i="1"/>
  <c r="AA389" i="1"/>
  <c r="AC389" i="1"/>
  <c r="AE389" i="1"/>
  <c r="AF389" i="1"/>
  <c r="AG389" i="1"/>
  <c r="AK389" i="1"/>
  <c r="AS389" i="1"/>
  <c r="AT389" i="1"/>
  <c r="B390" i="1"/>
  <c r="C390" i="1"/>
  <c r="D390" i="1"/>
  <c r="E390" i="1"/>
  <c r="F390" i="1"/>
  <c r="G390" i="1"/>
  <c r="H390" i="1"/>
  <c r="I390" i="1"/>
  <c r="J390" i="1"/>
  <c r="K390" i="1"/>
  <c r="L390" i="1"/>
  <c r="M390" i="1"/>
  <c r="N390" i="1"/>
  <c r="O390" i="1"/>
  <c r="W390" i="1"/>
  <c r="Y390" i="1"/>
  <c r="Z390" i="1"/>
  <c r="AA390" i="1"/>
  <c r="AC390" i="1"/>
  <c r="AE390" i="1"/>
  <c r="AF390" i="1"/>
  <c r="AG390" i="1"/>
  <c r="AK390" i="1"/>
  <c r="AS390" i="1"/>
  <c r="AT390" i="1"/>
  <c r="B391" i="1"/>
  <c r="C391" i="1"/>
  <c r="D391" i="1"/>
  <c r="E391" i="1"/>
  <c r="F391" i="1"/>
  <c r="H391" i="1"/>
  <c r="I391" i="1"/>
  <c r="J391" i="1"/>
  <c r="K391" i="1"/>
  <c r="L391" i="1"/>
  <c r="M391" i="1"/>
  <c r="N391" i="1"/>
  <c r="O391" i="1"/>
  <c r="W391" i="1"/>
  <c r="Y391" i="1"/>
  <c r="Z391" i="1"/>
  <c r="AA391" i="1"/>
  <c r="AC391" i="1"/>
  <c r="AE391" i="1"/>
  <c r="AF391" i="1"/>
  <c r="AG391" i="1"/>
  <c r="AK391" i="1"/>
  <c r="AS391" i="1"/>
  <c r="AT391" i="1"/>
  <c r="B392" i="1"/>
  <c r="C392" i="1"/>
  <c r="D392" i="1"/>
  <c r="E392" i="1"/>
  <c r="F392" i="1"/>
  <c r="G392" i="1"/>
  <c r="H392" i="1"/>
  <c r="I392" i="1"/>
  <c r="J392" i="1"/>
  <c r="K392" i="1"/>
  <c r="L392" i="1"/>
  <c r="M392" i="1"/>
  <c r="N392" i="1"/>
  <c r="O392" i="1"/>
  <c r="W392" i="1"/>
  <c r="Y392" i="1"/>
  <c r="Z392" i="1"/>
  <c r="AA392" i="1"/>
  <c r="AC392" i="1"/>
  <c r="AE392" i="1"/>
  <c r="AF392" i="1"/>
  <c r="AG392" i="1"/>
  <c r="AK392" i="1"/>
  <c r="AS392" i="1"/>
  <c r="AT392" i="1"/>
  <c r="B393" i="1"/>
  <c r="C393" i="1"/>
  <c r="D393" i="1"/>
  <c r="E393" i="1"/>
  <c r="F393" i="1"/>
  <c r="H393" i="1"/>
  <c r="I393" i="1"/>
  <c r="J393" i="1"/>
  <c r="K393" i="1"/>
  <c r="L393" i="1"/>
  <c r="M393" i="1"/>
  <c r="N393" i="1"/>
  <c r="O393" i="1"/>
  <c r="W393" i="1"/>
  <c r="Y393" i="1"/>
  <c r="Z393" i="1"/>
  <c r="AA393" i="1"/>
  <c r="AC393" i="1"/>
  <c r="AE393" i="1"/>
  <c r="AF393" i="1"/>
  <c r="AG393" i="1"/>
  <c r="AK393" i="1"/>
  <c r="AS393" i="1"/>
  <c r="AT393" i="1"/>
  <c r="B394" i="1"/>
  <c r="C394" i="1"/>
  <c r="D394" i="1"/>
  <c r="E394" i="1"/>
  <c r="F394" i="1"/>
  <c r="H394" i="1"/>
  <c r="I394" i="1"/>
  <c r="J394" i="1"/>
  <c r="K394" i="1"/>
  <c r="L394" i="1"/>
  <c r="M394" i="1"/>
  <c r="N394" i="1"/>
  <c r="O394" i="1"/>
  <c r="W394" i="1"/>
  <c r="Y394" i="1"/>
  <c r="Z394" i="1"/>
  <c r="AA394" i="1"/>
  <c r="AC394" i="1"/>
  <c r="AE394" i="1"/>
  <c r="AF394" i="1"/>
  <c r="AG394" i="1"/>
  <c r="AK394" i="1"/>
  <c r="AS394" i="1"/>
  <c r="AT394" i="1"/>
  <c r="B395" i="1"/>
  <c r="C395" i="1"/>
  <c r="D395" i="1"/>
  <c r="E395" i="1"/>
  <c r="F395" i="1"/>
  <c r="H395" i="1"/>
  <c r="I395" i="1"/>
  <c r="J395" i="1"/>
  <c r="K395" i="1"/>
  <c r="L395" i="1"/>
  <c r="M395" i="1"/>
  <c r="N395" i="1"/>
  <c r="O395" i="1"/>
  <c r="W395" i="1"/>
  <c r="Y395" i="1"/>
  <c r="Z395" i="1"/>
  <c r="AA395" i="1"/>
  <c r="AC395" i="1"/>
  <c r="AE395" i="1"/>
  <c r="AF395" i="1"/>
  <c r="AG395" i="1"/>
  <c r="AK395" i="1"/>
  <c r="AS395" i="1"/>
  <c r="AT395" i="1"/>
  <c r="B396" i="1"/>
  <c r="C396" i="1"/>
  <c r="D396" i="1"/>
  <c r="E396" i="1"/>
  <c r="F396" i="1"/>
  <c r="H396" i="1"/>
  <c r="I396" i="1"/>
  <c r="J396" i="1"/>
  <c r="K396" i="1"/>
  <c r="L396" i="1"/>
  <c r="M396" i="1"/>
  <c r="N396" i="1"/>
  <c r="O396" i="1"/>
  <c r="W396" i="1"/>
  <c r="Y396" i="1"/>
  <c r="Z396" i="1"/>
  <c r="AA396" i="1"/>
  <c r="AC396" i="1"/>
  <c r="AE396" i="1"/>
  <c r="AF396" i="1"/>
  <c r="AG396" i="1"/>
  <c r="AK396" i="1"/>
  <c r="AS396" i="1"/>
  <c r="AT396" i="1"/>
  <c r="B397" i="1"/>
  <c r="C397" i="1"/>
  <c r="D397" i="1"/>
  <c r="E397" i="1"/>
  <c r="F397" i="1"/>
  <c r="H397" i="1"/>
  <c r="I397" i="1"/>
  <c r="J397" i="1"/>
  <c r="K397" i="1"/>
  <c r="L397" i="1"/>
  <c r="M397" i="1"/>
  <c r="N397" i="1"/>
  <c r="O397" i="1"/>
  <c r="W397" i="1"/>
  <c r="Y397" i="1"/>
  <c r="Z397" i="1"/>
  <c r="AA397" i="1"/>
  <c r="AC397" i="1"/>
  <c r="AE397" i="1"/>
  <c r="AF397" i="1"/>
  <c r="AG397" i="1"/>
  <c r="AK397" i="1"/>
  <c r="AS397" i="1"/>
  <c r="AT397" i="1"/>
  <c r="B398" i="1"/>
  <c r="C398" i="1"/>
  <c r="D398" i="1"/>
  <c r="E398" i="1"/>
  <c r="F398" i="1"/>
  <c r="G398" i="1"/>
  <c r="H398" i="1"/>
  <c r="I398" i="1"/>
  <c r="J398" i="1"/>
  <c r="K398" i="1"/>
  <c r="L398" i="1"/>
  <c r="M398" i="1"/>
  <c r="N398" i="1"/>
  <c r="O398" i="1"/>
  <c r="W398" i="1"/>
  <c r="Y398" i="1"/>
  <c r="Z398" i="1"/>
  <c r="AA398" i="1"/>
  <c r="AC398" i="1"/>
  <c r="AE398" i="1"/>
  <c r="AF398" i="1"/>
  <c r="AG398" i="1"/>
  <c r="AK398" i="1"/>
  <c r="AS398" i="1"/>
  <c r="AT398" i="1"/>
  <c r="B399" i="1"/>
  <c r="C399" i="1"/>
  <c r="D399" i="1"/>
  <c r="E399" i="1"/>
  <c r="F399" i="1"/>
  <c r="H399" i="1"/>
  <c r="I399" i="1"/>
  <c r="K399" i="1"/>
  <c r="L399" i="1"/>
  <c r="M399" i="1"/>
  <c r="N399" i="1"/>
  <c r="O399" i="1"/>
  <c r="W399" i="1"/>
  <c r="Y399" i="1"/>
  <c r="Z399" i="1"/>
  <c r="AA399" i="1"/>
  <c r="AC399" i="1"/>
  <c r="AE399" i="1"/>
  <c r="AF399" i="1"/>
  <c r="AG399" i="1"/>
  <c r="AK399" i="1"/>
  <c r="AS399" i="1"/>
  <c r="AT399" i="1"/>
  <c r="B400" i="1"/>
  <c r="C400" i="1"/>
  <c r="D400" i="1"/>
  <c r="E400" i="1"/>
  <c r="F400" i="1"/>
  <c r="G400" i="1"/>
  <c r="H400" i="1"/>
  <c r="I400" i="1"/>
  <c r="J400" i="1"/>
  <c r="K400" i="1"/>
  <c r="L400" i="1"/>
  <c r="M400" i="1"/>
  <c r="N400" i="1"/>
  <c r="O400" i="1"/>
  <c r="W400" i="1"/>
  <c r="Y400" i="1"/>
  <c r="Z400" i="1"/>
  <c r="AA400" i="1"/>
  <c r="AC400" i="1"/>
  <c r="AE400" i="1"/>
  <c r="AF400" i="1"/>
  <c r="AG400" i="1"/>
  <c r="AK400" i="1"/>
  <c r="AS400" i="1"/>
  <c r="AT400" i="1"/>
  <c r="B401" i="1"/>
  <c r="C401" i="1"/>
  <c r="D401" i="1"/>
  <c r="E401" i="1"/>
  <c r="F401" i="1"/>
  <c r="H401" i="1"/>
  <c r="I401" i="1"/>
  <c r="J401" i="1"/>
  <c r="K401" i="1"/>
  <c r="L401" i="1"/>
  <c r="M401" i="1"/>
  <c r="N401" i="1"/>
  <c r="O401" i="1"/>
  <c r="W401" i="1"/>
  <c r="Y401" i="1"/>
  <c r="Z401" i="1"/>
  <c r="AA401" i="1"/>
  <c r="AC401" i="1"/>
  <c r="AE401" i="1"/>
  <c r="AF401" i="1"/>
  <c r="AG401" i="1"/>
  <c r="AK401" i="1"/>
  <c r="AS401" i="1"/>
  <c r="AT401" i="1"/>
  <c r="B402" i="1"/>
  <c r="C402" i="1"/>
  <c r="D402" i="1"/>
  <c r="E402" i="1"/>
  <c r="F402" i="1"/>
  <c r="H402" i="1"/>
  <c r="I402" i="1"/>
  <c r="J402" i="1"/>
  <c r="K402" i="1"/>
  <c r="L402" i="1"/>
  <c r="M402" i="1"/>
  <c r="N402" i="1"/>
  <c r="O402" i="1"/>
  <c r="W402" i="1"/>
  <c r="Y402" i="1"/>
  <c r="Z402" i="1"/>
  <c r="AA402" i="1"/>
  <c r="AC402" i="1"/>
  <c r="AE402" i="1"/>
  <c r="AF402" i="1"/>
  <c r="AG402" i="1"/>
  <c r="AK402" i="1"/>
  <c r="AS402" i="1"/>
  <c r="AT402" i="1"/>
  <c r="B403" i="1"/>
  <c r="C403" i="1"/>
  <c r="D403" i="1"/>
  <c r="E403" i="1"/>
  <c r="F403" i="1"/>
  <c r="H403" i="1"/>
  <c r="I403" i="1"/>
  <c r="J403" i="1"/>
  <c r="K403" i="1"/>
  <c r="L403" i="1"/>
  <c r="M403" i="1"/>
  <c r="N403" i="1"/>
  <c r="O403" i="1"/>
  <c r="S403" i="1"/>
  <c r="U403" i="1"/>
  <c r="W403" i="1"/>
  <c r="Y403" i="1"/>
  <c r="Z403" i="1"/>
  <c r="AA403" i="1"/>
  <c r="AC403" i="1"/>
  <c r="AE403" i="1"/>
  <c r="AF403" i="1"/>
  <c r="AG403" i="1"/>
  <c r="AK403" i="1"/>
  <c r="AS403" i="1"/>
  <c r="AT403" i="1"/>
  <c r="B404" i="1"/>
  <c r="C404" i="1"/>
  <c r="D404" i="1"/>
  <c r="E404" i="1"/>
  <c r="F404" i="1"/>
  <c r="H404" i="1"/>
  <c r="I404" i="1"/>
  <c r="J404" i="1"/>
  <c r="K404" i="1"/>
  <c r="L404" i="1"/>
  <c r="M404" i="1"/>
  <c r="N404" i="1"/>
  <c r="O404" i="1"/>
  <c r="W404" i="1"/>
  <c r="Y404" i="1"/>
  <c r="Z404" i="1"/>
  <c r="AA404" i="1"/>
  <c r="AC404" i="1"/>
  <c r="AE404" i="1"/>
  <c r="AF404" i="1"/>
  <c r="AG404" i="1"/>
  <c r="AK404" i="1"/>
  <c r="AS404" i="1"/>
  <c r="AT404" i="1"/>
  <c r="B405" i="1"/>
  <c r="C405" i="1"/>
  <c r="D405" i="1"/>
  <c r="E405" i="1"/>
  <c r="F405" i="1"/>
  <c r="G405" i="1"/>
  <c r="H405" i="1"/>
  <c r="I405" i="1"/>
  <c r="J405" i="1"/>
  <c r="K405" i="1"/>
  <c r="L405" i="1"/>
  <c r="M405" i="1"/>
  <c r="N405" i="1"/>
  <c r="O405" i="1"/>
  <c r="W405" i="1"/>
  <c r="Y405" i="1"/>
  <c r="Z405" i="1"/>
  <c r="AA405" i="1"/>
  <c r="AC405" i="1"/>
  <c r="AE405" i="1"/>
  <c r="AF405" i="1"/>
  <c r="AG405" i="1"/>
  <c r="AK405" i="1"/>
  <c r="AS405" i="1"/>
  <c r="AT405" i="1"/>
  <c r="B406" i="1"/>
  <c r="C406" i="1"/>
  <c r="D406" i="1"/>
  <c r="E406" i="1"/>
  <c r="F406" i="1"/>
  <c r="G406" i="1"/>
  <c r="H406" i="1"/>
  <c r="I406" i="1"/>
  <c r="J406" i="1"/>
  <c r="K406" i="1"/>
  <c r="L406" i="1"/>
  <c r="M406" i="1"/>
  <c r="N406" i="1"/>
  <c r="O406" i="1"/>
  <c r="W406" i="1"/>
  <c r="Y406" i="1"/>
  <c r="Z406" i="1"/>
  <c r="AA406" i="1"/>
  <c r="AC406" i="1"/>
  <c r="AE406" i="1"/>
  <c r="AF406" i="1"/>
  <c r="AG406" i="1"/>
  <c r="AK406" i="1"/>
  <c r="AS406" i="1"/>
  <c r="AT406" i="1"/>
  <c r="B407" i="1"/>
  <c r="C407" i="1"/>
  <c r="D407" i="1"/>
  <c r="E407" i="1"/>
  <c r="F407" i="1"/>
  <c r="H407" i="1"/>
  <c r="I407" i="1"/>
  <c r="J407" i="1"/>
  <c r="K407" i="1"/>
  <c r="L407" i="1"/>
  <c r="M407" i="1"/>
  <c r="N407" i="1"/>
  <c r="O407" i="1"/>
  <c r="W407" i="1"/>
  <c r="Y407" i="1"/>
  <c r="Z407" i="1"/>
  <c r="AA407" i="1"/>
  <c r="AC407" i="1"/>
  <c r="AE407" i="1"/>
  <c r="AF407" i="1"/>
  <c r="AG407" i="1"/>
  <c r="AK407" i="1"/>
  <c r="AS407" i="1"/>
  <c r="AT407" i="1"/>
  <c r="B408" i="1"/>
  <c r="C408" i="1"/>
  <c r="D408" i="1"/>
  <c r="E408" i="1"/>
  <c r="F408" i="1"/>
  <c r="H408" i="1"/>
  <c r="I408" i="1"/>
  <c r="J408" i="1"/>
  <c r="K408" i="1"/>
  <c r="L408" i="1"/>
  <c r="M408" i="1"/>
  <c r="N408" i="1"/>
  <c r="O408" i="1"/>
  <c r="W408" i="1"/>
  <c r="Y408" i="1"/>
  <c r="Z408" i="1"/>
  <c r="AA408" i="1"/>
  <c r="AC408" i="1"/>
  <c r="AE408" i="1"/>
  <c r="AF408" i="1"/>
  <c r="AG408" i="1"/>
  <c r="AK408" i="1"/>
  <c r="AS408" i="1"/>
  <c r="AT408" i="1"/>
  <c r="B409" i="1"/>
  <c r="C409" i="1"/>
  <c r="D409" i="1"/>
  <c r="E409" i="1"/>
  <c r="F409" i="1"/>
  <c r="H409" i="1"/>
  <c r="I409" i="1"/>
  <c r="J409" i="1"/>
  <c r="K409" i="1"/>
  <c r="L409" i="1"/>
  <c r="M409" i="1"/>
  <c r="N409" i="1"/>
  <c r="O409" i="1"/>
  <c r="W409" i="1"/>
  <c r="Y409" i="1"/>
  <c r="Z409" i="1"/>
  <c r="AA409" i="1"/>
  <c r="AC409" i="1"/>
  <c r="AE409" i="1"/>
  <c r="AF409" i="1"/>
  <c r="AG409" i="1"/>
  <c r="AK409" i="1"/>
  <c r="AS409" i="1"/>
  <c r="AT409" i="1"/>
  <c r="B410" i="1"/>
  <c r="C410" i="1"/>
  <c r="D410" i="1"/>
  <c r="E410" i="1"/>
  <c r="F410" i="1"/>
  <c r="H410" i="1"/>
  <c r="I410" i="1"/>
  <c r="J410" i="1"/>
  <c r="K410" i="1"/>
  <c r="L410" i="1"/>
  <c r="M410" i="1"/>
  <c r="N410" i="1"/>
  <c r="O410" i="1"/>
  <c r="W410" i="1"/>
  <c r="Y410" i="1"/>
  <c r="Z410" i="1"/>
  <c r="AA410" i="1"/>
  <c r="AC410" i="1"/>
  <c r="AE410" i="1"/>
  <c r="AF410" i="1"/>
  <c r="AG410" i="1"/>
  <c r="AK410" i="1"/>
  <c r="AS410" i="1"/>
  <c r="AT410" i="1"/>
  <c r="B411" i="1"/>
  <c r="C411" i="1"/>
  <c r="D411" i="1"/>
  <c r="E411" i="1"/>
  <c r="F411" i="1"/>
  <c r="H411" i="1"/>
  <c r="I411" i="1"/>
  <c r="J411" i="1"/>
  <c r="K411" i="1"/>
  <c r="L411" i="1"/>
  <c r="M411" i="1"/>
  <c r="N411" i="1"/>
  <c r="O411" i="1"/>
  <c r="W411" i="1"/>
  <c r="Y411" i="1"/>
  <c r="Z411" i="1"/>
  <c r="AA411" i="1"/>
  <c r="AC411" i="1"/>
  <c r="AE411" i="1"/>
  <c r="AF411" i="1"/>
  <c r="AG411" i="1"/>
  <c r="AK411" i="1"/>
  <c r="AS411" i="1"/>
  <c r="AT411" i="1"/>
  <c r="B412" i="1"/>
  <c r="C412" i="1"/>
  <c r="D412" i="1"/>
  <c r="E412" i="1"/>
  <c r="F412" i="1"/>
  <c r="H412" i="1"/>
  <c r="I412" i="1"/>
  <c r="J412" i="1"/>
  <c r="K412" i="1"/>
  <c r="L412" i="1"/>
  <c r="M412" i="1"/>
  <c r="N412" i="1"/>
  <c r="O412" i="1"/>
  <c r="W412" i="1"/>
  <c r="Y412" i="1"/>
  <c r="Z412" i="1"/>
  <c r="AA412" i="1"/>
  <c r="AC412" i="1"/>
  <c r="AE412" i="1"/>
  <c r="AF412" i="1"/>
  <c r="AG412" i="1"/>
  <c r="AK412" i="1"/>
  <c r="AS412" i="1"/>
  <c r="AT412" i="1"/>
  <c r="B413" i="1"/>
  <c r="C413" i="1"/>
  <c r="D413" i="1"/>
  <c r="E413" i="1"/>
  <c r="F413" i="1"/>
  <c r="H413" i="1"/>
  <c r="I413" i="1"/>
  <c r="J413" i="1"/>
  <c r="K413" i="1"/>
  <c r="L413" i="1"/>
  <c r="M413" i="1"/>
  <c r="N413" i="1"/>
  <c r="O413" i="1"/>
  <c r="W413" i="1"/>
  <c r="Y413" i="1"/>
  <c r="Z413" i="1"/>
  <c r="AA413" i="1"/>
  <c r="AC413" i="1"/>
  <c r="AE413" i="1"/>
  <c r="AF413" i="1"/>
  <c r="AG413" i="1"/>
  <c r="AK413" i="1"/>
  <c r="AS413" i="1"/>
  <c r="AT413" i="1"/>
  <c r="B414" i="1"/>
  <c r="C414" i="1"/>
  <c r="D414" i="1"/>
  <c r="E414" i="1"/>
  <c r="F414" i="1"/>
  <c r="H414" i="1"/>
  <c r="I414" i="1"/>
  <c r="J414" i="1"/>
  <c r="K414" i="1"/>
  <c r="L414" i="1"/>
  <c r="M414" i="1"/>
  <c r="N414" i="1"/>
  <c r="O414" i="1"/>
  <c r="W414" i="1"/>
  <c r="Y414" i="1"/>
  <c r="Z414" i="1"/>
  <c r="AA414" i="1"/>
  <c r="AC414" i="1"/>
  <c r="AE414" i="1"/>
  <c r="AF414" i="1"/>
  <c r="AG414" i="1"/>
  <c r="AK414" i="1"/>
  <c r="AS414" i="1"/>
  <c r="AT414" i="1"/>
  <c r="B415" i="1"/>
  <c r="C415" i="1"/>
  <c r="D415" i="1"/>
  <c r="E415" i="1"/>
  <c r="F415" i="1"/>
  <c r="H415" i="1"/>
  <c r="I415" i="1"/>
  <c r="J415" i="1"/>
  <c r="K415" i="1"/>
  <c r="L415" i="1"/>
  <c r="M415" i="1"/>
  <c r="N415" i="1"/>
  <c r="O415" i="1"/>
  <c r="S415" i="1"/>
  <c r="T415" i="1"/>
  <c r="U415" i="1"/>
  <c r="W415" i="1"/>
  <c r="Y415" i="1"/>
  <c r="Z415" i="1"/>
  <c r="AA415" i="1"/>
  <c r="AC415" i="1"/>
  <c r="AE415" i="1"/>
  <c r="AF415" i="1"/>
  <c r="AG415" i="1"/>
  <c r="AK415" i="1"/>
  <c r="AS415" i="1"/>
  <c r="AT415" i="1"/>
  <c r="B416" i="1"/>
  <c r="C416" i="1"/>
  <c r="D416" i="1"/>
  <c r="E416" i="1"/>
  <c r="F416" i="1"/>
  <c r="H416" i="1"/>
  <c r="I416" i="1"/>
  <c r="J416" i="1"/>
  <c r="K416" i="1"/>
  <c r="L416" i="1"/>
  <c r="M416" i="1"/>
  <c r="N416" i="1"/>
  <c r="O416" i="1"/>
  <c r="W416" i="1"/>
  <c r="Y416" i="1"/>
  <c r="Z416" i="1"/>
  <c r="AA416" i="1"/>
  <c r="AC416" i="1"/>
  <c r="AE416" i="1"/>
  <c r="AF416" i="1"/>
  <c r="AG416" i="1"/>
  <c r="AJ416" i="1"/>
  <c r="AK416" i="1"/>
  <c r="AS416" i="1"/>
  <c r="AT416" i="1"/>
  <c r="AV416" i="1"/>
  <c r="B417" i="1"/>
  <c r="C417" i="1"/>
  <c r="D417" i="1"/>
  <c r="E417" i="1"/>
  <c r="F417" i="1"/>
  <c r="H417" i="1"/>
  <c r="I417" i="1"/>
  <c r="J417" i="1"/>
  <c r="K417" i="1"/>
  <c r="L417" i="1"/>
  <c r="M417" i="1"/>
  <c r="N417" i="1"/>
  <c r="O417" i="1"/>
  <c r="W417" i="1"/>
  <c r="Y417" i="1"/>
  <c r="Z417" i="1"/>
  <c r="AA417" i="1"/>
  <c r="AC417" i="1"/>
  <c r="AE417" i="1"/>
  <c r="AF417" i="1"/>
  <c r="AG417" i="1"/>
  <c r="AK417" i="1"/>
  <c r="AS417" i="1"/>
  <c r="AT417" i="1"/>
  <c r="B418" i="1"/>
  <c r="C418" i="1"/>
  <c r="D418" i="1"/>
  <c r="E418" i="1"/>
  <c r="F418" i="1"/>
  <c r="H418" i="1"/>
  <c r="I418" i="1"/>
  <c r="J418" i="1"/>
  <c r="K418" i="1"/>
  <c r="L418" i="1"/>
  <c r="M418" i="1"/>
  <c r="N418" i="1"/>
  <c r="O418" i="1"/>
  <c r="S418" i="1"/>
  <c r="U418" i="1"/>
  <c r="W418" i="1"/>
  <c r="Y418" i="1"/>
  <c r="Z418" i="1"/>
  <c r="AA418" i="1"/>
  <c r="AC418" i="1"/>
  <c r="AE418" i="1"/>
  <c r="AF418" i="1"/>
  <c r="AG418" i="1"/>
  <c r="AK418" i="1"/>
  <c r="AS418" i="1"/>
  <c r="AT418" i="1"/>
  <c r="B419" i="1"/>
  <c r="C419" i="1"/>
  <c r="D419" i="1"/>
  <c r="E419" i="1"/>
  <c r="F419" i="1"/>
  <c r="H419" i="1"/>
  <c r="I419" i="1"/>
  <c r="J419" i="1"/>
  <c r="K419" i="1"/>
  <c r="L419" i="1"/>
  <c r="M419" i="1"/>
  <c r="N419" i="1"/>
  <c r="O419" i="1"/>
  <c r="W419" i="1"/>
  <c r="Y419" i="1"/>
  <c r="Z419" i="1"/>
  <c r="AA419" i="1"/>
  <c r="AC419" i="1"/>
  <c r="AE419" i="1"/>
  <c r="AF419" i="1"/>
  <c r="AG419" i="1"/>
  <c r="AK419" i="1"/>
  <c r="AS419" i="1"/>
  <c r="AT419" i="1"/>
  <c r="B420" i="1"/>
  <c r="C420" i="1"/>
  <c r="D420" i="1"/>
  <c r="E420" i="1"/>
  <c r="F420" i="1"/>
  <c r="H420" i="1"/>
  <c r="I420" i="1"/>
  <c r="J420" i="1"/>
  <c r="K420" i="1"/>
  <c r="L420" i="1"/>
  <c r="M420" i="1"/>
  <c r="N420" i="1"/>
  <c r="O420" i="1"/>
  <c r="W420" i="1"/>
  <c r="Y420" i="1"/>
  <c r="Z420" i="1"/>
  <c r="AA420" i="1"/>
  <c r="AC420" i="1"/>
  <c r="AE420" i="1"/>
  <c r="AF420" i="1"/>
  <c r="AG420" i="1"/>
  <c r="AK420" i="1"/>
  <c r="AS420" i="1"/>
  <c r="AT420" i="1"/>
  <c r="B421" i="1"/>
  <c r="C421" i="1"/>
  <c r="D421" i="1"/>
  <c r="E421" i="1"/>
  <c r="F421" i="1"/>
  <c r="H421" i="1"/>
  <c r="I421" i="1"/>
  <c r="J421" i="1"/>
  <c r="K421" i="1"/>
  <c r="L421" i="1"/>
  <c r="M421" i="1"/>
  <c r="N421" i="1"/>
  <c r="O421" i="1"/>
  <c r="W421" i="1"/>
  <c r="Y421" i="1"/>
  <c r="Z421" i="1"/>
  <c r="AA421" i="1"/>
  <c r="AC421" i="1"/>
  <c r="AE421" i="1"/>
  <c r="AF421" i="1"/>
  <c r="AG421" i="1"/>
  <c r="AK421" i="1"/>
  <c r="AS421" i="1"/>
  <c r="AT421" i="1"/>
  <c r="B422" i="1"/>
  <c r="C422" i="1"/>
  <c r="D422" i="1"/>
  <c r="E422" i="1"/>
  <c r="F422" i="1"/>
  <c r="H422" i="1"/>
  <c r="I422" i="1"/>
  <c r="J422" i="1"/>
  <c r="K422" i="1"/>
  <c r="L422" i="1"/>
  <c r="M422" i="1"/>
  <c r="N422" i="1"/>
  <c r="O422" i="1"/>
  <c r="W422" i="1"/>
  <c r="Y422" i="1"/>
  <c r="Z422" i="1"/>
  <c r="AA422" i="1"/>
  <c r="AC422" i="1"/>
  <c r="AE422" i="1"/>
  <c r="AF422" i="1"/>
  <c r="AG422" i="1"/>
  <c r="AK422" i="1"/>
  <c r="AS422" i="1"/>
  <c r="AT422" i="1"/>
  <c r="B423" i="1"/>
  <c r="C423" i="1"/>
  <c r="D423" i="1"/>
  <c r="E423" i="1"/>
  <c r="F423" i="1"/>
  <c r="H423" i="1"/>
  <c r="I423" i="1"/>
  <c r="J423" i="1"/>
  <c r="K423" i="1"/>
  <c r="L423" i="1"/>
  <c r="M423" i="1"/>
  <c r="N423" i="1"/>
  <c r="O423" i="1"/>
  <c r="W423" i="1"/>
  <c r="Y423" i="1"/>
  <c r="Z423" i="1"/>
  <c r="AA423" i="1"/>
  <c r="AC423" i="1"/>
  <c r="AE423" i="1"/>
  <c r="AF423" i="1"/>
  <c r="AG423" i="1"/>
  <c r="AK423" i="1"/>
  <c r="AS423" i="1"/>
  <c r="AT423" i="1"/>
  <c r="B424" i="1"/>
  <c r="C424" i="1"/>
  <c r="D424" i="1"/>
  <c r="E424" i="1"/>
  <c r="H424" i="1"/>
  <c r="I424" i="1"/>
  <c r="J424" i="1"/>
  <c r="K424" i="1"/>
  <c r="L424" i="1"/>
  <c r="M424" i="1"/>
  <c r="N424" i="1"/>
  <c r="O424" i="1"/>
  <c r="S424" i="1"/>
  <c r="T424" i="1"/>
  <c r="U424" i="1"/>
  <c r="W424" i="1"/>
  <c r="Y424" i="1"/>
  <c r="Z424" i="1"/>
  <c r="AA424" i="1"/>
  <c r="AC424" i="1"/>
  <c r="AE424" i="1"/>
  <c r="AF424" i="1"/>
  <c r="AG424" i="1"/>
  <c r="AK424" i="1"/>
  <c r="AT424" i="1"/>
  <c r="B425" i="1"/>
  <c r="C425" i="1"/>
  <c r="D425" i="1"/>
  <c r="E425" i="1"/>
  <c r="F425" i="1"/>
  <c r="H425" i="1"/>
  <c r="I425" i="1"/>
  <c r="J425" i="1"/>
  <c r="K425" i="1"/>
  <c r="L425" i="1"/>
  <c r="M425" i="1"/>
  <c r="N425" i="1"/>
  <c r="O425" i="1"/>
  <c r="W425" i="1"/>
  <c r="Y425" i="1"/>
  <c r="Z425" i="1"/>
  <c r="AA425" i="1"/>
  <c r="AC425" i="1"/>
  <c r="AE425" i="1"/>
  <c r="AF425" i="1"/>
  <c r="AG425" i="1"/>
  <c r="AK425" i="1"/>
  <c r="AS425" i="1"/>
  <c r="AT425" i="1"/>
  <c r="B426" i="1"/>
  <c r="C426" i="1"/>
  <c r="D426" i="1"/>
  <c r="E426" i="1"/>
  <c r="F426" i="1"/>
  <c r="H426" i="1"/>
  <c r="I426" i="1"/>
  <c r="J426" i="1"/>
  <c r="K426" i="1"/>
  <c r="L426" i="1"/>
  <c r="M426" i="1"/>
  <c r="N426" i="1"/>
  <c r="O426" i="1"/>
  <c r="W426" i="1"/>
  <c r="Y426" i="1"/>
  <c r="Z426" i="1"/>
  <c r="AA426" i="1"/>
  <c r="AC426" i="1"/>
  <c r="AE426" i="1"/>
  <c r="AF426" i="1"/>
  <c r="AG426" i="1"/>
  <c r="AK426" i="1"/>
  <c r="AS426" i="1"/>
  <c r="AT426" i="1"/>
  <c r="B427" i="1"/>
  <c r="C427" i="1"/>
  <c r="D427" i="1"/>
  <c r="E427" i="1"/>
  <c r="F427" i="1"/>
  <c r="H427" i="1"/>
  <c r="I427" i="1"/>
  <c r="J427" i="1"/>
  <c r="K427" i="1"/>
  <c r="L427" i="1"/>
  <c r="M427" i="1"/>
  <c r="N427" i="1"/>
  <c r="O427" i="1"/>
  <c r="W427" i="1"/>
  <c r="Y427" i="1"/>
  <c r="Z427" i="1"/>
  <c r="AA427" i="1"/>
  <c r="AC427" i="1"/>
  <c r="AE427" i="1"/>
  <c r="AF427" i="1"/>
  <c r="AG427" i="1"/>
  <c r="AK427" i="1"/>
  <c r="AS427" i="1"/>
  <c r="AT427" i="1"/>
  <c r="B428" i="1"/>
  <c r="C428" i="1"/>
  <c r="D428" i="1"/>
  <c r="E428" i="1"/>
  <c r="F428" i="1"/>
  <c r="G428" i="1"/>
  <c r="H428" i="1"/>
  <c r="I428" i="1"/>
  <c r="J428" i="1"/>
  <c r="K428" i="1"/>
  <c r="L428" i="1"/>
  <c r="M428" i="1"/>
  <c r="N428" i="1"/>
  <c r="O428" i="1"/>
  <c r="W428" i="1"/>
  <c r="Y428" i="1"/>
  <c r="Z428" i="1"/>
  <c r="AA428" i="1"/>
  <c r="AC428" i="1"/>
  <c r="AE428" i="1"/>
  <c r="AF428" i="1"/>
  <c r="AG428" i="1"/>
  <c r="AK428" i="1"/>
  <c r="AS428" i="1"/>
  <c r="AT428" i="1"/>
  <c r="B429" i="1"/>
  <c r="C429" i="1"/>
  <c r="D429" i="1"/>
  <c r="E429" i="1"/>
  <c r="F429" i="1"/>
  <c r="G429" i="1"/>
  <c r="H429" i="1"/>
  <c r="I429" i="1"/>
  <c r="J429" i="1"/>
  <c r="K429" i="1"/>
  <c r="L429" i="1"/>
  <c r="M429" i="1"/>
  <c r="N429" i="1"/>
  <c r="O429" i="1"/>
  <c r="S429" i="1"/>
  <c r="T429" i="1"/>
  <c r="U429" i="1"/>
  <c r="W429" i="1"/>
  <c r="Y429" i="1"/>
  <c r="Z429" i="1"/>
  <c r="AA429" i="1"/>
  <c r="AC429" i="1"/>
  <c r="AE429" i="1"/>
  <c r="AF429" i="1"/>
  <c r="AG429" i="1"/>
  <c r="AK429" i="1"/>
  <c r="AS429" i="1"/>
  <c r="AT429" i="1"/>
  <c r="B430" i="1"/>
  <c r="C430" i="1"/>
  <c r="D430" i="1"/>
  <c r="E430" i="1"/>
  <c r="F430" i="1"/>
  <c r="G430" i="1"/>
  <c r="H430" i="1"/>
  <c r="I430" i="1"/>
  <c r="J430" i="1"/>
  <c r="K430" i="1"/>
  <c r="L430" i="1"/>
  <c r="M430" i="1"/>
  <c r="N430" i="1"/>
  <c r="O430" i="1"/>
  <c r="S430" i="1"/>
  <c r="T430" i="1"/>
  <c r="U430" i="1"/>
  <c r="W430" i="1"/>
  <c r="Y430" i="1"/>
  <c r="Z430" i="1"/>
  <c r="AA430" i="1"/>
  <c r="AC430" i="1"/>
  <c r="AE430" i="1"/>
  <c r="AF430" i="1"/>
  <c r="AG430" i="1"/>
  <c r="AK430" i="1"/>
  <c r="AS430" i="1"/>
  <c r="AT430" i="1"/>
  <c r="B431" i="1"/>
  <c r="C431" i="1"/>
  <c r="D431" i="1"/>
  <c r="E431" i="1"/>
  <c r="F431" i="1"/>
  <c r="H431" i="1"/>
  <c r="I431" i="1"/>
  <c r="J431" i="1"/>
  <c r="K431" i="1"/>
  <c r="L431" i="1"/>
  <c r="M431" i="1"/>
  <c r="N431" i="1"/>
  <c r="O431" i="1"/>
  <c r="W431" i="1"/>
  <c r="Y431" i="1"/>
  <c r="Z431" i="1"/>
  <c r="AA431" i="1"/>
  <c r="AC431" i="1"/>
  <c r="AE431" i="1"/>
  <c r="AF431" i="1"/>
  <c r="AG431" i="1"/>
  <c r="AK431" i="1"/>
  <c r="AS431" i="1"/>
  <c r="AT431" i="1"/>
  <c r="B432" i="1"/>
  <c r="C432" i="1"/>
  <c r="D432" i="1"/>
  <c r="E432" i="1"/>
  <c r="F432" i="1"/>
  <c r="G432" i="1"/>
  <c r="H432" i="1"/>
  <c r="I432" i="1"/>
  <c r="J432" i="1"/>
  <c r="K432" i="1"/>
  <c r="L432" i="1"/>
  <c r="M432" i="1"/>
  <c r="N432" i="1"/>
  <c r="O432" i="1"/>
  <c r="W432" i="1"/>
  <c r="Y432" i="1"/>
  <c r="Z432" i="1"/>
  <c r="AA432" i="1"/>
  <c r="AC432" i="1"/>
  <c r="AE432" i="1"/>
  <c r="AF432" i="1"/>
  <c r="AG432" i="1"/>
  <c r="AK432" i="1"/>
  <c r="AS432" i="1"/>
  <c r="AT432" i="1"/>
  <c r="B433" i="1"/>
  <c r="C433" i="1"/>
  <c r="D433" i="1"/>
  <c r="E433" i="1"/>
  <c r="F433" i="1"/>
  <c r="G433" i="1"/>
  <c r="H433" i="1"/>
  <c r="I433" i="1"/>
  <c r="J433" i="1"/>
  <c r="K433" i="1"/>
  <c r="L433" i="1"/>
  <c r="M433" i="1"/>
  <c r="N433" i="1"/>
  <c r="O433" i="1"/>
  <c r="W433" i="1"/>
  <c r="Y433" i="1"/>
  <c r="Z433" i="1"/>
  <c r="AA433" i="1"/>
  <c r="AC433" i="1"/>
  <c r="AE433" i="1"/>
  <c r="AF433" i="1"/>
  <c r="AG433" i="1"/>
  <c r="AK433" i="1"/>
  <c r="AS433" i="1"/>
  <c r="AT433" i="1"/>
  <c r="B434" i="1"/>
  <c r="C434" i="1"/>
  <c r="D434" i="1"/>
  <c r="E434" i="1"/>
  <c r="F434" i="1"/>
  <c r="G434" i="1"/>
  <c r="H434" i="1"/>
  <c r="I434" i="1"/>
  <c r="J434" i="1"/>
  <c r="K434" i="1"/>
  <c r="L434" i="1"/>
  <c r="M434" i="1"/>
  <c r="N434" i="1"/>
  <c r="O434" i="1"/>
  <c r="W434" i="1"/>
  <c r="Y434" i="1"/>
  <c r="Z434" i="1"/>
  <c r="AA434" i="1"/>
  <c r="AC434" i="1"/>
  <c r="AE434" i="1"/>
  <c r="AF434" i="1"/>
  <c r="AG434" i="1"/>
  <c r="AK434" i="1"/>
  <c r="AS434" i="1"/>
  <c r="AT434" i="1"/>
  <c r="B435" i="1"/>
  <c r="C435" i="1"/>
  <c r="D435" i="1"/>
  <c r="E435" i="1"/>
  <c r="F435" i="1"/>
  <c r="H435" i="1"/>
  <c r="I435" i="1"/>
  <c r="J435" i="1"/>
  <c r="K435" i="1"/>
  <c r="L435" i="1"/>
  <c r="M435" i="1"/>
  <c r="N435" i="1"/>
  <c r="O435" i="1"/>
  <c r="W435" i="1"/>
  <c r="Y435" i="1"/>
  <c r="Z435" i="1"/>
  <c r="AA435" i="1"/>
  <c r="AC435" i="1"/>
  <c r="AE435" i="1"/>
  <c r="AF435" i="1"/>
  <c r="AG435" i="1"/>
  <c r="AK435" i="1"/>
  <c r="AS435" i="1"/>
  <c r="AT435" i="1"/>
  <c r="B436" i="1"/>
  <c r="C436" i="1"/>
  <c r="D436" i="1"/>
  <c r="E436" i="1"/>
  <c r="F436" i="1"/>
  <c r="G436" i="1"/>
  <c r="H436" i="1"/>
  <c r="I436" i="1"/>
  <c r="J436" i="1"/>
  <c r="K436" i="1"/>
  <c r="L436" i="1"/>
  <c r="M436" i="1"/>
  <c r="N436" i="1"/>
  <c r="O436" i="1"/>
  <c r="W436" i="1"/>
  <c r="Y436" i="1"/>
  <c r="Z436" i="1"/>
  <c r="AA436" i="1"/>
  <c r="AC436" i="1"/>
  <c r="AE436" i="1"/>
  <c r="AF436" i="1"/>
  <c r="AG436" i="1"/>
  <c r="AK436" i="1"/>
  <c r="AS436" i="1"/>
  <c r="AT436" i="1"/>
  <c r="B437" i="1"/>
  <c r="C437" i="1"/>
  <c r="D437" i="1"/>
  <c r="E437" i="1"/>
  <c r="F437" i="1"/>
  <c r="G437" i="1"/>
  <c r="H437" i="1"/>
  <c r="I437" i="1"/>
  <c r="J437" i="1"/>
  <c r="K437" i="1"/>
  <c r="L437" i="1"/>
  <c r="M437" i="1"/>
  <c r="N437" i="1"/>
  <c r="O437" i="1"/>
  <c r="W437" i="1"/>
  <c r="Y437" i="1"/>
  <c r="Z437" i="1"/>
  <c r="AA437" i="1"/>
  <c r="AC437" i="1"/>
  <c r="AE437" i="1"/>
  <c r="AF437" i="1"/>
  <c r="AG437" i="1"/>
  <c r="AK437" i="1"/>
  <c r="AS437" i="1"/>
  <c r="AT437" i="1"/>
  <c r="B438" i="1"/>
  <c r="C438" i="1"/>
  <c r="D438" i="1"/>
  <c r="E438" i="1"/>
  <c r="F438" i="1"/>
  <c r="H438" i="1"/>
  <c r="I438" i="1"/>
  <c r="J438" i="1"/>
  <c r="K438" i="1"/>
  <c r="L438" i="1"/>
  <c r="M438" i="1"/>
  <c r="N438" i="1"/>
  <c r="O438" i="1"/>
  <c r="W438" i="1"/>
  <c r="Y438" i="1"/>
  <c r="Z438" i="1"/>
  <c r="AA438" i="1"/>
  <c r="AC438" i="1"/>
  <c r="AE438" i="1"/>
  <c r="AF438" i="1"/>
  <c r="AG438" i="1"/>
  <c r="AK438" i="1"/>
  <c r="AS438" i="1"/>
  <c r="AT438" i="1"/>
  <c r="B439" i="1"/>
  <c r="C439" i="1"/>
  <c r="D439" i="1"/>
  <c r="E439" i="1"/>
  <c r="F439" i="1"/>
  <c r="H439" i="1"/>
  <c r="I439" i="1"/>
  <c r="J439" i="1"/>
  <c r="K439" i="1"/>
  <c r="L439" i="1"/>
  <c r="M439" i="1"/>
  <c r="N439" i="1"/>
  <c r="O439" i="1"/>
  <c r="W439" i="1"/>
  <c r="Y439" i="1"/>
  <c r="Z439" i="1"/>
  <c r="AA439" i="1"/>
  <c r="AC439" i="1"/>
  <c r="AE439" i="1"/>
  <c r="AF439" i="1"/>
  <c r="AG439" i="1"/>
  <c r="AK439" i="1"/>
  <c r="AS439" i="1"/>
  <c r="AT439" i="1"/>
  <c r="B440" i="1"/>
  <c r="C440" i="1"/>
  <c r="D440" i="1"/>
  <c r="E440" i="1"/>
  <c r="F440" i="1"/>
  <c r="H440" i="1"/>
  <c r="I440" i="1"/>
  <c r="J440" i="1"/>
  <c r="K440" i="1"/>
  <c r="L440" i="1"/>
  <c r="M440" i="1"/>
  <c r="N440" i="1"/>
  <c r="O440" i="1"/>
  <c r="W440" i="1"/>
  <c r="Y440" i="1"/>
  <c r="Z440" i="1"/>
  <c r="AA440" i="1"/>
  <c r="AC440" i="1"/>
  <c r="AE440" i="1"/>
  <c r="AF440" i="1"/>
  <c r="AG440" i="1"/>
  <c r="AK440" i="1"/>
  <c r="AS440" i="1"/>
  <c r="AT440" i="1"/>
  <c r="B441" i="1"/>
  <c r="C441" i="1"/>
  <c r="D441" i="1"/>
  <c r="E441" i="1"/>
  <c r="F441" i="1"/>
  <c r="H441" i="1"/>
  <c r="I441" i="1"/>
  <c r="J441" i="1"/>
  <c r="K441" i="1"/>
  <c r="L441" i="1"/>
  <c r="M441" i="1"/>
  <c r="N441" i="1"/>
  <c r="O441" i="1"/>
  <c r="W441" i="1"/>
  <c r="Y441" i="1"/>
  <c r="Z441" i="1"/>
  <c r="AA441" i="1"/>
  <c r="AC441" i="1"/>
  <c r="AE441" i="1"/>
  <c r="AF441" i="1"/>
  <c r="AG441" i="1"/>
  <c r="AK441" i="1"/>
  <c r="AS441" i="1"/>
  <c r="AT441" i="1"/>
  <c r="B442" i="1"/>
  <c r="C442" i="1"/>
  <c r="D442" i="1"/>
  <c r="E442" i="1"/>
  <c r="F442" i="1"/>
  <c r="H442" i="1"/>
  <c r="I442" i="1"/>
  <c r="J442" i="1"/>
  <c r="K442" i="1"/>
  <c r="L442" i="1"/>
  <c r="M442" i="1"/>
  <c r="N442" i="1"/>
  <c r="O442" i="1"/>
  <c r="W442" i="1"/>
  <c r="Y442" i="1"/>
  <c r="Z442" i="1"/>
  <c r="AA442" i="1"/>
  <c r="AC442" i="1"/>
  <c r="AE442" i="1"/>
  <c r="AF442" i="1"/>
  <c r="AG442" i="1"/>
  <c r="AK442" i="1"/>
  <c r="AS442" i="1"/>
  <c r="AT442" i="1"/>
  <c r="B443" i="1"/>
  <c r="C443" i="1"/>
  <c r="D443" i="1"/>
  <c r="E443" i="1"/>
  <c r="F443" i="1"/>
  <c r="H443" i="1"/>
  <c r="I443" i="1"/>
  <c r="J443" i="1"/>
  <c r="K443" i="1"/>
  <c r="L443" i="1"/>
  <c r="M443" i="1"/>
  <c r="N443" i="1"/>
  <c r="O443" i="1"/>
  <c r="W443" i="1"/>
  <c r="Y443" i="1"/>
  <c r="Z443" i="1"/>
  <c r="AA443" i="1"/>
  <c r="AC443" i="1"/>
  <c r="AE443" i="1"/>
  <c r="AF443" i="1"/>
  <c r="AG443" i="1"/>
  <c r="AK443" i="1"/>
  <c r="AS443" i="1"/>
  <c r="AT443" i="1"/>
  <c r="B444" i="1"/>
  <c r="C444" i="1"/>
  <c r="D444" i="1"/>
  <c r="E444" i="1"/>
  <c r="F444" i="1"/>
  <c r="G444" i="1"/>
  <c r="H444" i="1"/>
  <c r="I444" i="1"/>
  <c r="J444" i="1"/>
  <c r="K444" i="1"/>
  <c r="L444" i="1"/>
  <c r="M444" i="1"/>
  <c r="N444" i="1"/>
  <c r="O444" i="1"/>
  <c r="W444" i="1"/>
  <c r="Y444" i="1"/>
  <c r="Z444" i="1"/>
  <c r="AA444" i="1"/>
  <c r="AC444" i="1"/>
  <c r="AE444" i="1"/>
  <c r="AF444" i="1"/>
  <c r="AG444" i="1"/>
  <c r="AK444" i="1"/>
  <c r="AS444" i="1"/>
  <c r="AT444" i="1"/>
  <c r="B445" i="1"/>
  <c r="C445" i="1"/>
  <c r="D445" i="1"/>
  <c r="E445" i="1"/>
  <c r="F445" i="1"/>
  <c r="G445" i="1"/>
  <c r="H445" i="1"/>
  <c r="I445" i="1"/>
  <c r="J445" i="1"/>
  <c r="K445" i="1"/>
  <c r="L445" i="1"/>
  <c r="M445" i="1"/>
  <c r="N445" i="1"/>
  <c r="O445" i="1"/>
  <c r="W445" i="1"/>
  <c r="Y445" i="1"/>
  <c r="Z445" i="1"/>
  <c r="AA445" i="1"/>
  <c r="AC445" i="1"/>
  <c r="AE445" i="1"/>
  <c r="AF445" i="1"/>
  <c r="AG445" i="1"/>
  <c r="AK445" i="1"/>
  <c r="AS445" i="1"/>
  <c r="AT445" i="1"/>
  <c r="B446" i="1"/>
  <c r="C446" i="1"/>
  <c r="D446" i="1"/>
  <c r="E446" i="1"/>
  <c r="F446" i="1"/>
  <c r="G446" i="1"/>
  <c r="H446" i="1"/>
  <c r="I446" i="1"/>
  <c r="J446" i="1"/>
  <c r="K446" i="1"/>
  <c r="L446" i="1"/>
  <c r="M446" i="1"/>
  <c r="N446" i="1"/>
  <c r="O446" i="1"/>
  <c r="W446" i="1"/>
  <c r="Y446" i="1"/>
  <c r="Z446" i="1"/>
  <c r="AA446" i="1"/>
  <c r="AC446" i="1"/>
  <c r="AE446" i="1"/>
  <c r="AF446" i="1"/>
  <c r="AG446" i="1"/>
  <c r="AK446" i="1"/>
  <c r="AS446" i="1"/>
  <c r="AT446" i="1"/>
  <c r="B447" i="1"/>
  <c r="C447" i="1"/>
  <c r="D447" i="1"/>
  <c r="E447" i="1"/>
  <c r="F447" i="1"/>
  <c r="H447" i="1"/>
  <c r="I447" i="1"/>
  <c r="J447" i="1"/>
  <c r="K447" i="1"/>
  <c r="L447" i="1"/>
  <c r="M447" i="1"/>
  <c r="N447" i="1"/>
  <c r="O447" i="1"/>
  <c r="W447" i="1"/>
  <c r="Y447" i="1"/>
  <c r="Z447" i="1"/>
  <c r="AA447" i="1"/>
  <c r="AC447" i="1"/>
  <c r="AE447" i="1"/>
  <c r="AF447" i="1"/>
  <c r="AG447" i="1"/>
  <c r="AK447" i="1"/>
  <c r="AS447" i="1"/>
  <c r="AT447" i="1"/>
  <c r="B448" i="1"/>
  <c r="C448" i="1"/>
  <c r="D448" i="1"/>
  <c r="E448" i="1"/>
  <c r="F448" i="1"/>
  <c r="G448" i="1"/>
  <c r="H448" i="1"/>
  <c r="I448" i="1"/>
  <c r="J448" i="1"/>
  <c r="K448" i="1"/>
  <c r="L448" i="1"/>
  <c r="M448" i="1"/>
  <c r="N448" i="1"/>
  <c r="O448" i="1"/>
  <c r="W448" i="1"/>
  <c r="Y448" i="1"/>
  <c r="Z448" i="1"/>
  <c r="AA448" i="1"/>
  <c r="AC448" i="1"/>
  <c r="AE448" i="1"/>
  <c r="AF448" i="1"/>
  <c r="AG448" i="1"/>
  <c r="AK448" i="1"/>
  <c r="AS448" i="1"/>
  <c r="AT448" i="1"/>
  <c r="B449" i="1"/>
  <c r="C449" i="1"/>
  <c r="D449" i="1"/>
  <c r="E449" i="1"/>
  <c r="F449" i="1"/>
  <c r="H449" i="1"/>
  <c r="I449" i="1"/>
  <c r="J449" i="1"/>
  <c r="K449" i="1"/>
  <c r="L449" i="1"/>
  <c r="M449" i="1"/>
  <c r="N449" i="1"/>
  <c r="O449" i="1"/>
  <c r="S449" i="1"/>
  <c r="T449" i="1"/>
  <c r="U449" i="1"/>
  <c r="W449" i="1"/>
  <c r="Y449" i="1"/>
  <c r="Z449" i="1"/>
  <c r="AA449" i="1"/>
  <c r="AC449" i="1"/>
  <c r="AE449" i="1"/>
  <c r="AF449" i="1"/>
  <c r="AG449" i="1"/>
  <c r="AK449" i="1"/>
  <c r="AS449" i="1"/>
  <c r="AT449" i="1"/>
  <c r="B450" i="1"/>
  <c r="C450" i="1"/>
  <c r="D450" i="1"/>
  <c r="E450" i="1"/>
  <c r="F450" i="1"/>
  <c r="H450" i="1"/>
  <c r="I450" i="1"/>
  <c r="J450" i="1"/>
  <c r="K450" i="1"/>
  <c r="L450" i="1"/>
  <c r="M450" i="1"/>
  <c r="N450" i="1"/>
  <c r="O450" i="1"/>
  <c r="W450" i="1"/>
  <c r="Y450" i="1"/>
  <c r="Z450" i="1"/>
  <c r="AA450" i="1"/>
  <c r="AC450" i="1"/>
  <c r="AE450" i="1"/>
  <c r="AF450" i="1"/>
  <c r="AG450" i="1"/>
  <c r="AK450" i="1"/>
  <c r="AS450" i="1"/>
  <c r="AT450" i="1"/>
  <c r="B451" i="1"/>
  <c r="C451" i="1"/>
  <c r="D451" i="1"/>
  <c r="E451" i="1"/>
  <c r="F451" i="1"/>
  <c r="G451" i="1"/>
  <c r="H451" i="1"/>
  <c r="I451" i="1"/>
  <c r="J451" i="1"/>
  <c r="K451" i="1"/>
  <c r="L451" i="1"/>
  <c r="M451" i="1"/>
  <c r="N451" i="1"/>
  <c r="O451" i="1"/>
  <c r="W451" i="1"/>
  <c r="Y451" i="1"/>
  <c r="Z451" i="1"/>
  <c r="AA451" i="1"/>
  <c r="AC451" i="1"/>
  <c r="AE451" i="1"/>
  <c r="AF451" i="1"/>
  <c r="AG451" i="1"/>
  <c r="AK451" i="1"/>
  <c r="AS451" i="1"/>
  <c r="AT451" i="1"/>
  <c r="B452" i="1"/>
  <c r="C452" i="1"/>
  <c r="D452" i="1"/>
  <c r="E452" i="1"/>
  <c r="F452" i="1"/>
  <c r="H452" i="1"/>
  <c r="I452" i="1"/>
  <c r="J452" i="1"/>
  <c r="K452" i="1"/>
  <c r="L452" i="1"/>
  <c r="M452" i="1"/>
  <c r="N452" i="1"/>
  <c r="O452" i="1"/>
  <c r="W452" i="1"/>
  <c r="Y452" i="1"/>
  <c r="Z452" i="1"/>
  <c r="AA452" i="1"/>
  <c r="AC452" i="1"/>
  <c r="AE452" i="1"/>
  <c r="AF452" i="1"/>
  <c r="AG452" i="1"/>
  <c r="AK452" i="1"/>
  <c r="AS452" i="1"/>
  <c r="AT452" i="1"/>
  <c r="B453" i="1"/>
  <c r="C453" i="1"/>
  <c r="D453" i="1"/>
  <c r="E453" i="1"/>
  <c r="F453" i="1"/>
  <c r="H453" i="1"/>
  <c r="I453" i="1"/>
  <c r="J453" i="1"/>
  <c r="K453" i="1"/>
  <c r="L453" i="1"/>
  <c r="M453" i="1"/>
  <c r="N453" i="1"/>
  <c r="O453" i="1"/>
  <c r="W453" i="1"/>
  <c r="Y453" i="1"/>
  <c r="Z453" i="1"/>
  <c r="AA453" i="1"/>
  <c r="AC453" i="1"/>
  <c r="AE453" i="1"/>
  <c r="AF453" i="1"/>
  <c r="AG453" i="1"/>
  <c r="AK453" i="1"/>
  <c r="AS453" i="1"/>
  <c r="AT453" i="1"/>
  <c r="B454" i="1"/>
  <c r="C454" i="1"/>
  <c r="D454" i="1"/>
  <c r="E454" i="1"/>
  <c r="F454" i="1"/>
  <c r="H454" i="1"/>
  <c r="I454" i="1"/>
  <c r="J454" i="1"/>
  <c r="K454" i="1"/>
  <c r="L454" i="1"/>
  <c r="M454" i="1"/>
  <c r="N454" i="1"/>
  <c r="O454" i="1"/>
  <c r="W454" i="1"/>
  <c r="Y454" i="1"/>
  <c r="Z454" i="1"/>
  <c r="AA454" i="1"/>
  <c r="AC454" i="1"/>
  <c r="AE454" i="1"/>
  <c r="AF454" i="1"/>
  <c r="AG454" i="1"/>
  <c r="AK454" i="1"/>
  <c r="AS454" i="1"/>
  <c r="AT454" i="1"/>
  <c r="B455" i="1"/>
  <c r="C455" i="1"/>
  <c r="D455" i="1"/>
  <c r="E455" i="1"/>
  <c r="F455" i="1"/>
  <c r="H455" i="1"/>
  <c r="I455" i="1"/>
  <c r="J455" i="1"/>
  <c r="K455" i="1"/>
  <c r="L455" i="1"/>
  <c r="M455" i="1"/>
  <c r="N455" i="1"/>
  <c r="O455" i="1"/>
  <c r="W455" i="1"/>
  <c r="Y455" i="1"/>
  <c r="Z455" i="1"/>
  <c r="AA455" i="1"/>
  <c r="AC455" i="1"/>
  <c r="AE455" i="1"/>
  <c r="AF455" i="1"/>
  <c r="AG455" i="1"/>
  <c r="AK455" i="1"/>
  <c r="AS455" i="1"/>
  <c r="AT455" i="1"/>
  <c r="B456" i="1"/>
  <c r="C456" i="1"/>
  <c r="D456" i="1"/>
  <c r="E456" i="1"/>
  <c r="F456" i="1"/>
  <c r="H456" i="1"/>
  <c r="I456" i="1"/>
  <c r="J456" i="1"/>
  <c r="K456" i="1"/>
  <c r="L456" i="1"/>
  <c r="M456" i="1"/>
  <c r="N456" i="1"/>
  <c r="O456" i="1"/>
  <c r="W456" i="1"/>
  <c r="Y456" i="1"/>
  <c r="Z456" i="1"/>
  <c r="AA456" i="1"/>
  <c r="AC456" i="1"/>
  <c r="AE456" i="1"/>
  <c r="AF456" i="1"/>
  <c r="AG456" i="1"/>
  <c r="AK456" i="1"/>
  <c r="AS456" i="1"/>
  <c r="AT456" i="1"/>
  <c r="B457" i="1"/>
  <c r="C457" i="1"/>
  <c r="D457" i="1"/>
  <c r="E457" i="1"/>
  <c r="F457" i="1"/>
  <c r="G457" i="1"/>
  <c r="H457" i="1"/>
  <c r="I457" i="1"/>
  <c r="J457" i="1"/>
  <c r="K457" i="1"/>
  <c r="L457" i="1"/>
  <c r="M457" i="1"/>
  <c r="N457" i="1"/>
  <c r="O457" i="1"/>
  <c r="Q457" i="1"/>
  <c r="W457" i="1"/>
  <c r="Y457" i="1"/>
  <c r="Z457" i="1"/>
  <c r="AA457" i="1"/>
  <c r="AC457" i="1"/>
  <c r="AE457" i="1"/>
  <c r="AF457" i="1"/>
  <c r="AG457" i="1"/>
  <c r="AK457" i="1"/>
  <c r="AS457" i="1"/>
  <c r="AT457" i="1"/>
  <c r="B458" i="1"/>
  <c r="C458" i="1"/>
  <c r="D458" i="1"/>
  <c r="E458" i="1"/>
  <c r="F458" i="1"/>
  <c r="G458" i="1"/>
  <c r="H458" i="1"/>
  <c r="I458" i="1"/>
  <c r="J458" i="1"/>
  <c r="K458" i="1"/>
  <c r="L458" i="1"/>
  <c r="M458" i="1"/>
  <c r="N458" i="1"/>
  <c r="O458" i="1"/>
  <c r="W458" i="1"/>
  <c r="Y458" i="1"/>
  <c r="Z458" i="1"/>
  <c r="AA458" i="1"/>
  <c r="AC458" i="1"/>
  <c r="AE458" i="1"/>
  <c r="AF458" i="1"/>
  <c r="AG458" i="1"/>
  <c r="AK458" i="1"/>
  <c r="AS458" i="1"/>
  <c r="AT458" i="1"/>
  <c r="B459" i="1"/>
  <c r="C459" i="1"/>
  <c r="D459" i="1"/>
  <c r="E459" i="1"/>
  <c r="F459" i="1"/>
  <c r="G459" i="1"/>
  <c r="H459" i="1"/>
  <c r="I459" i="1"/>
  <c r="J459" i="1"/>
  <c r="K459" i="1"/>
  <c r="L459" i="1"/>
  <c r="M459" i="1"/>
  <c r="N459" i="1"/>
  <c r="O459" i="1"/>
  <c r="S459" i="1"/>
  <c r="T459" i="1"/>
  <c r="U459" i="1"/>
  <c r="W459" i="1"/>
  <c r="Y459" i="1"/>
  <c r="Z459" i="1"/>
  <c r="AA459" i="1"/>
  <c r="AC459" i="1"/>
  <c r="AE459" i="1"/>
  <c r="AF459" i="1"/>
  <c r="AG459" i="1"/>
  <c r="AK459" i="1"/>
  <c r="AS459" i="1"/>
  <c r="AT459" i="1"/>
  <c r="B460" i="1"/>
  <c r="C460" i="1"/>
  <c r="D460" i="1"/>
  <c r="E460" i="1"/>
  <c r="F460" i="1"/>
  <c r="G460" i="1"/>
  <c r="H460" i="1"/>
  <c r="I460" i="1"/>
  <c r="J460" i="1"/>
  <c r="K460" i="1"/>
  <c r="L460" i="1"/>
  <c r="M460" i="1"/>
  <c r="N460" i="1"/>
  <c r="O460" i="1"/>
  <c r="S460" i="1"/>
  <c r="T460" i="1"/>
  <c r="U460" i="1"/>
  <c r="W460" i="1"/>
  <c r="Y460" i="1"/>
  <c r="Z460" i="1"/>
  <c r="AA460" i="1"/>
  <c r="AC460" i="1"/>
  <c r="AE460" i="1"/>
  <c r="AF460" i="1"/>
  <c r="AG460" i="1"/>
  <c r="AK460" i="1"/>
  <c r="AS460" i="1"/>
  <c r="AT460" i="1"/>
  <c r="B461" i="1"/>
  <c r="C461" i="1"/>
  <c r="D461" i="1"/>
  <c r="E461" i="1"/>
  <c r="F461" i="1"/>
  <c r="G461" i="1"/>
  <c r="H461" i="1"/>
  <c r="I461" i="1"/>
  <c r="J461" i="1"/>
  <c r="K461" i="1"/>
  <c r="L461" i="1"/>
  <c r="M461" i="1"/>
  <c r="N461" i="1"/>
  <c r="O461" i="1"/>
  <c r="S461" i="1"/>
  <c r="T461" i="1"/>
  <c r="U461" i="1"/>
  <c r="V461" i="1"/>
  <c r="W461" i="1"/>
  <c r="X461" i="1"/>
  <c r="Y461" i="1"/>
  <c r="Z461" i="1"/>
  <c r="AA461" i="1"/>
  <c r="AC461" i="1"/>
  <c r="AE461" i="1"/>
  <c r="AF461" i="1"/>
  <c r="AG461" i="1"/>
  <c r="AK461" i="1"/>
  <c r="AS461" i="1"/>
  <c r="AT461" i="1"/>
  <c r="B462" i="1"/>
  <c r="C462" i="1"/>
  <c r="D462" i="1"/>
  <c r="E462" i="1"/>
  <c r="F462" i="1"/>
  <c r="G462" i="1"/>
  <c r="H462" i="1"/>
  <c r="I462" i="1"/>
  <c r="J462" i="1"/>
  <c r="K462" i="1"/>
  <c r="L462" i="1"/>
  <c r="M462" i="1"/>
  <c r="N462" i="1"/>
  <c r="O462" i="1"/>
  <c r="W462" i="1"/>
  <c r="Y462" i="1"/>
  <c r="Z462" i="1"/>
  <c r="AA462" i="1"/>
  <c r="AC462" i="1"/>
  <c r="AE462" i="1"/>
  <c r="AF462" i="1"/>
  <c r="AG462" i="1"/>
  <c r="AK462" i="1"/>
  <c r="AS462" i="1"/>
  <c r="AT462" i="1"/>
  <c r="B463" i="1"/>
  <c r="C463" i="1"/>
  <c r="D463" i="1"/>
  <c r="E463" i="1"/>
  <c r="F463" i="1"/>
  <c r="G463" i="1"/>
  <c r="H463" i="1"/>
  <c r="I463" i="1"/>
  <c r="J463" i="1"/>
  <c r="K463" i="1"/>
  <c r="L463" i="1"/>
  <c r="M463" i="1"/>
  <c r="N463" i="1"/>
  <c r="O463" i="1"/>
  <c r="S463" i="1"/>
  <c r="T463" i="1"/>
  <c r="U463" i="1"/>
  <c r="W463" i="1"/>
  <c r="Y463" i="1"/>
  <c r="Z463" i="1"/>
  <c r="AA463" i="1"/>
  <c r="AC463" i="1"/>
  <c r="AE463" i="1"/>
  <c r="AF463" i="1"/>
  <c r="AG463" i="1"/>
  <c r="AK463" i="1"/>
  <c r="AS463" i="1"/>
  <c r="AT463" i="1"/>
  <c r="B464" i="1"/>
  <c r="C464" i="1"/>
  <c r="D464" i="1"/>
  <c r="E464" i="1"/>
  <c r="F464" i="1"/>
  <c r="G464" i="1"/>
  <c r="H464" i="1"/>
  <c r="I464" i="1"/>
  <c r="J464" i="1"/>
  <c r="K464" i="1"/>
  <c r="L464" i="1"/>
  <c r="M464" i="1"/>
  <c r="N464" i="1"/>
  <c r="O464" i="1"/>
  <c r="S464" i="1"/>
  <c r="T464" i="1"/>
  <c r="U464" i="1"/>
  <c r="W464" i="1"/>
  <c r="Y464" i="1"/>
  <c r="Z464" i="1"/>
  <c r="AA464" i="1"/>
  <c r="AC464" i="1"/>
  <c r="AE464" i="1"/>
  <c r="AF464" i="1"/>
  <c r="AG464" i="1"/>
  <c r="AK464" i="1"/>
  <c r="AS464" i="1"/>
  <c r="AT464" i="1"/>
  <c r="B465" i="1"/>
  <c r="C465" i="1"/>
  <c r="D465" i="1"/>
  <c r="E465" i="1"/>
  <c r="F465" i="1"/>
  <c r="G465" i="1"/>
  <c r="H465" i="1"/>
  <c r="I465" i="1"/>
  <c r="J465" i="1"/>
  <c r="K465" i="1"/>
  <c r="L465" i="1"/>
  <c r="M465" i="1"/>
  <c r="N465" i="1"/>
  <c r="O465" i="1"/>
  <c r="W465" i="1"/>
  <c r="Y465" i="1"/>
  <c r="Z465" i="1"/>
  <c r="AA465" i="1"/>
  <c r="AC465" i="1"/>
  <c r="AE465" i="1"/>
  <c r="AF465" i="1"/>
  <c r="AG465" i="1"/>
  <c r="AK465" i="1"/>
  <c r="AS465" i="1"/>
  <c r="AT465" i="1"/>
  <c r="B466" i="1"/>
  <c r="C466" i="1"/>
  <c r="D466" i="1"/>
  <c r="E466" i="1"/>
  <c r="F466" i="1"/>
  <c r="G466" i="1"/>
  <c r="H466" i="1"/>
  <c r="I466" i="1"/>
  <c r="J466" i="1"/>
  <c r="K466" i="1"/>
  <c r="L466" i="1"/>
  <c r="M466" i="1"/>
  <c r="N466" i="1"/>
  <c r="O466" i="1"/>
  <c r="S466" i="1"/>
  <c r="T466" i="1"/>
  <c r="U466" i="1"/>
  <c r="W466" i="1"/>
  <c r="Y466" i="1"/>
  <c r="Z466" i="1"/>
  <c r="AA466" i="1"/>
  <c r="AC466" i="1"/>
  <c r="AE466" i="1"/>
  <c r="AF466" i="1"/>
  <c r="AG466" i="1"/>
  <c r="AK466" i="1"/>
  <c r="AS466" i="1"/>
  <c r="AT466" i="1"/>
  <c r="B467" i="1"/>
  <c r="C467" i="1"/>
  <c r="D467" i="1"/>
  <c r="E467" i="1"/>
  <c r="F467" i="1"/>
  <c r="G467" i="1"/>
  <c r="H467" i="1"/>
  <c r="I467" i="1"/>
  <c r="J467" i="1"/>
  <c r="K467" i="1"/>
  <c r="L467" i="1"/>
  <c r="M467" i="1"/>
  <c r="N467" i="1"/>
  <c r="O467" i="1"/>
  <c r="S467" i="1"/>
  <c r="T467" i="1"/>
  <c r="U467" i="1"/>
  <c r="W467" i="1"/>
  <c r="Y467" i="1"/>
  <c r="Z467" i="1"/>
  <c r="AA467" i="1"/>
  <c r="AC467" i="1"/>
  <c r="AE467" i="1"/>
  <c r="AF467" i="1"/>
  <c r="AG467" i="1"/>
  <c r="AK467" i="1"/>
  <c r="AS467" i="1"/>
  <c r="AT467" i="1"/>
  <c r="B468" i="1"/>
  <c r="C468" i="1"/>
  <c r="D468" i="1"/>
  <c r="E468" i="1"/>
  <c r="F468" i="1"/>
  <c r="G468" i="1"/>
  <c r="H468" i="1"/>
  <c r="I468" i="1"/>
  <c r="J468" i="1"/>
  <c r="K468" i="1"/>
  <c r="L468" i="1"/>
  <c r="M468" i="1"/>
  <c r="N468" i="1"/>
  <c r="O468" i="1"/>
  <c r="S468" i="1"/>
  <c r="T468" i="1"/>
  <c r="U468" i="1"/>
  <c r="W468" i="1"/>
  <c r="Y468" i="1"/>
  <c r="Z468" i="1"/>
  <c r="AA468" i="1"/>
  <c r="AC468" i="1"/>
  <c r="AE468" i="1"/>
  <c r="AF468" i="1"/>
  <c r="AG468" i="1"/>
  <c r="AK468" i="1"/>
  <c r="AS468" i="1"/>
  <c r="AT468" i="1"/>
  <c r="B469" i="1"/>
  <c r="C469" i="1"/>
  <c r="D469" i="1"/>
  <c r="E469" i="1"/>
  <c r="F469" i="1"/>
  <c r="G469" i="1"/>
  <c r="H469" i="1"/>
  <c r="I469" i="1"/>
  <c r="J469" i="1"/>
  <c r="K469" i="1"/>
  <c r="L469" i="1"/>
  <c r="M469" i="1"/>
  <c r="N469" i="1"/>
  <c r="O469" i="1"/>
  <c r="S469" i="1"/>
  <c r="T469" i="1"/>
  <c r="U469" i="1"/>
  <c r="W469" i="1"/>
  <c r="Y469" i="1"/>
  <c r="Z469" i="1"/>
  <c r="AA469" i="1"/>
  <c r="AC469" i="1"/>
  <c r="AE469" i="1"/>
  <c r="AF469" i="1"/>
  <c r="AG469" i="1"/>
  <c r="AK469" i="1"/>
  <c r="AS469" i="1"/>
  <c r="AT469" i="1"/>
  <c r="B470" i="1"/>
  <c r="C470" i="1"/>
  <c r="D470" i="1"/>
  <c r="E470" i="1"/>
  <c r="F470" i="1"/>
  <c r="G470" i="1"/>
  <c r="H470" i="1"/>
  <c r="I470" i="1"/>
  <c r="J470" i="1"/>
  <c r="K470" i="1"/>
  <c r="L470" i="1"/>
  <c r="M470" i="1"/>
  <c r="N470" i="1"/>
  <c r="O470" i="1"/>
  <c r="W470" i="1"/>
  <c r="Y470" i="1"/>
  <c r="Z470" i="1"/>
  <c r="AA470" i="1"/>
  <c r="AC470" i="1"/>
  <c r="AE470" i="1"/>
  <c r="AF470" i="1"/>
  <c r="AG470" i="1"/>
  <c r="AK470" i="1"/>
  <c r="AS470" i="1"/>
  <c r="AT470" i="1"/>
  <c r="B471" i="1"/>
  <c r="C471" i="1"/>
  <c r="D471" i="1"/>
  <c r="E471" i="1"/>
  <c r="F471" i="1"/>
  <c r="H471" i="1"/>
  <c r="I471" i="1"/>
  <c r="J471" i="1"/>
  <c r="K471" i="1"/>
  <c r="L471" i="1"/>
  <c r="M471" i="1"/>
  <c r="N471" i="1"/>
  <c r="O471" i="1"/>
  <c r="S471" i="1"/>
  <c r="T471" i="1"/>
  <c r="U471" i="1"/>
  <c r="W471" i="1"/>
  <c r="Y471" i="1"/>
  <c r="Z471" i="1"/>
  <c r="AA471" i="1"/>
  <c r="AC471" i="1"/>
  <c r="AE471" i="1"/>
  <c r="AF471" i="1"/>
  <c r="AG471" i="1"/>
  <c r="AK471" i="1"/>
  <c r="AS471" i="1"/>
  <c r="AT471" i="1"/>
  <c r="B472" i="1"/>
  <c r="C472" i="1"/>
  <c r="D472" i="1"/>
  <c r="E472" i="1"/>
  <c r="F472" i="1"/>
  <c r="G472" i="1"/>
  <c r="H472" i="1"/>
  <c r="I472" i="1"/>
  <c r="J472" i="1"/>
  <c r="K472" i="1"/>
  <c r="L472" i="1"/>
  <c r="M472" i="1"/>
  <c r="N472" i="1"/>
  <c r="O472" i="1"/>
  <c r="S472" i="1"/>
  <c r="T472" i="1"/>
  <c r="U472" i="1"/>
  <c r="W472" i="1"/>
  <c r="Y472" i="1"/>
  <c r="Z472" i="1"/>
  <c r="AA472" i="1"/>
  <c r="AC472" i="1"/>
  <c r="AE472" i="1"/>
  <c r="AF472" i="1"/>
  <c r="AG472" i="1"/>
  <c r="AK472" i="1"/>
  <c r="AS472" i="1"/>
  <c r="AT472" i="1"/>
  <c r="B473" i="1"/>
  <c r="C473" i="1"/>
  <c r="D473" i="1"/>
  <c r="E473" i="1"/>
  <c r="F473" i="1"/>
  <c r="H473" i="1"/>
  <c r="I473" i="1"/>
  <c r="J473" i="1"/>
  <c r="K473" i="1"/>
  <c r="L473" i="1"/>
  <c r="M473" i="1"/>
  <c r="N473" i="1"/>
  <c r="O473" i="1"/>
  <c r="W473" i="1"/>
  <c r="Y473" i="1"/>
  <c r="Z473" i="1"/>
  <c r="AA473" i="1"/>
  <c r="AC473" i="1"/>
  <c r="AE473" i="1"/>
  <c r="AF473" i="1"/>
  <c r="AG473" i="1"/>
  <c r="AK473" i="1"/>
  <c r="AS473" i="1"/>
  <c r="AT473" i="1"/>
  <c r="B474" i="1"/>
  <c r="C474" i="1"/>
  <c r="D474" i="1"/>
  <c r="E474" i="1"/>
  <c r="F474" i="1"/>
  <c r="H474" i="1"/>
  <c r="I474" i="1"/>
  <c r="J474" i="1"/>
  <c r="K474" i="1"/>
  <c r="L474" i="1"/>
  <c r="M474" i="1"/>
  <c r="N474" i="1"/>
  <c r="O474" i="1"/>
  <c r="S474" i="1"/>
  <c r="T474" i="1"/>
  <c r="U474" i="1"/>
  <c r="W474" i="1"/>
  <c r="Y474" i="1"/>
  <c r="Z474" i="1"/>
  <c r="AA474" i="1"/>
  <c r="AC474" i="1"/>
  <c r="AE474" i="1"/>
  <c r="AF474" i="1"/>
  <c r="AG474" i="1"/>
  <c r="AK474" i="1"/>
  <c r="AS474" i="1"/>
  <c r="AT474" i="1"/>
  <c r="B475" i="1"/>
  <c r="C475" i="1"/>
  <c r="D475" i="1"/>
  <c r="E475" i="1"/>
  <c r="F475" i="1"/>
  <c r="H475" i="1"/>
  <c r="I475" i="1"/>
  <c r="J475" i="1"/>
  <c r="K475" i="1"/>
  <c r="L475" i="1"/>
  <c r="M475" i="1"/>
  <c r="N475" i="1"/>
  <c r="O475" i="1"/>
  <c r="S475" i="1"/>
  <c r="T475" i="1"/>
  <c r="U475" i="1"/>
  <c r="W475" i="1"/>
  <c r="Y475" i="1"/>
  <c r="Z475" i="1"/>
  <c r="AA475" i="1"/>
  <c r="AC475" i="1"/>
  <c r="AE475" i="1"/>
  <c r="AF475" i="1"/>
  <c r="AG475" i="1"/>
  <c r="AK475" i="1"/>
  <c r="AS475" i="1"/>
  <c r="AT475" i="1"/>
  <c r="B476" i="1"/>
  <c r="C476" i="1"/>
  <c r="D476" i="1"/>
  <c r="E476" i="1"/>
  <c r="F476" i="1"/>
  <c r="G476" i="1"/>
  <c r="H476" i="1"/>
  <c r="I476" i="1"/>
  <c r="J476" i="1"/>
  <c r="K476" i="1"/>
  <c r="L476" i="1"/>
  <c r="M476" i="1"/>
  <c r="N476" i="1"/>
  <c r="O476" i="1"/>
  <c r="W476" i="1"/>
  <c r="Y476" i="1"/>
  <c r="Z476" i="1"/>
  <c r="AA476" i="1"/>
  <c r="AC476" i="1"/>
  <c r="AE476" i="1"/>
  <c r="AF476" i="1"/>
  <c r="AG476" i="1"/>
  <c r="AK476" i="1"/>
  <c r="AS476" i="1"/>
  <c r="AT476" i="1"/>
  <c r="B477" i="1"/>
  <c r="C477" i="1"/>
  <c r="D477" i="1"/>
  <c r="E477" i="1"/>
  <c r="F477" i="1"/>
  <c r="H477" i="1"/>
  <c r="I477" i="1"/>
  <c r="J477" i="1"/>
  <c r="K477" i="1"/>
  <c r="L477" i="1"/>
  <c r="M477" i="1"/>
  <c r="N477" i="1"/>
  <c r="O477" i="1"/>
  <c r="S477" i="1"/>
  <c r="T477" i="1"/>
  <c r="U477" i="1"/>
  <c r="W477" i="1"/>
  <c r="Y477" i="1"/>
  <c r="Z477" i="1"/>
  <c r="AA477" i="1"/>
  <c r="AC477" i="1"/>
  <c r="AE477" i="1"/>
  <c r="AF477" i="1"/>
  <c r="AG477" i="1"/>
  <c r="AK477" i="1"/>
  <c r="AS477" i="1"/>
  <c r="AT477" i="1"/>
  <c r="B478" i="1"/>
  <c r="C478" i="1"/>
  <c r="D478" i="1"/>
  <c r="E478" i="1"/>
  <c r="F478" i="1"/>
  <c r="G478" i="1"/>
  <c r="H478" i="1"/>
  <c r="I478" i="1"/>
  <c r="J478" i="1"/>
  <c r="K478" i="1"/>
  <c r="L478" i="1"/>
  <c r="M478" i="1"/>
  <c r="N478" i="1"/>
  <c r="O478" i="1"/>
  <c r="S478" i="1"/>
  <c r="T478" i="1"/>
  <c r="U478" i="1"/>
  <c r="W478" i="1"/>
  <c r="Y478" i="1"/>
  <c r="Z478" i="1"/>
  <c r="AA478" i="1"/>
  <c r="AC478" i="1"/>
  <c r="AE478" i="1"/>
  <c r="AF478" i="1"/>
  <c r="AG478" i="1"/>
  <c r="AK478" i="1"/>
  <c r="AS478" i="1"/>
  <c r="AT478" i="1"/>
  <c r="B479" i="1"/>
  <c r="C479" i="1"/>
  <c r="D479" i="1"/>
  <c r="E479" i="1"/>
  <c r="F479" i="1"/>
  <c r="H479" i="1"/>
  <c r="I479" i="1"/>
  <c r="J479" i="1"/>
  <c r="K479" i="1"/>
  <c r="L479" i="1"/>
  <c r="M479" i="1"/>
  <c r="N479" i="1"/>
  <c r="O479" i="1"/>
  <c r="S479" i="1"/>
  <c r="T479" i="1"/>
  <c r="U479" i="1"/>
  <c r="W479" i="1"/>
  <c r="Y479" i="1"/>
  <c r="Z479" i="1"/>
  <c r="AA479" i="1"/>
  <c r="AC479" i="1"/>
  <c r="AE479" i="1"/>
  <c r="AF479" i="1"/>
  <c r="AG479" i="1"/>
  <c r="AK479" i="1"/>
  <c r="AS479" i="1"/>
  <c r="AT479" i="1"/>
  <c r="B480" i="1"/>
  <c r="C480" i="1"/>
  <c r="D480" i="1"/>
  <c r="E480" i="1"/>
  <c r="F480" i="1"/>
  <c r="G480" i="1"/>
  <c r="H480" i="1"/>
  <c r="I480" i="1"/>
  <c r="J480" i="1"/>
  <c r="K480" i="1"/>
  <c r="L480" i="1"/>
  <c r="M480" i="1"/>
  <c r="N480" i="1"/>
  <c r="O480" i="1"/>
  <c r="S480" i="1"/>
  <c r="T480" i="1"/>
  <c r="U480" i="1"/>
  <c r="W480" i="1"/>
  <c r="Y480" i="1"/>
  <c r="Z480" i="1"/>
  <c r="AA480" i="1"/>
  <c r="AC480" i="1"/>
  <c r="AE480" i="1"/>
  <c r="AF480" i="1"/>
  <c r="AG480" i="1"/>
  <c r="AK480" i="1"/>
  <c r="AS480" i="1"/>
  <c r="AT480" i="1"/>
  <c r="B481" i="1"/>
  <c r="C481" i="1"/>
  <c r="D481" i="1"/>
  <c r="E481" i="1"/>
  <c r="F481" i="1"/>
  <c r="G481" i="1"/>
  <c r="H481" i="1"/>
  <c r="I481" i="1"/>
  <c r="J481" i="1"/>
  <c r="K481" i="1"/>
  <c r="L481" i="1"/>
  <c r="M481" i="1"/>
  <c r="N481" i="1"/>
  <c r="O481" i="1"/>
  <c r="S481" i="1"/>
  <c r="T481" i="1"/>
  <c r="U481" i="1"/>
  <c r="W481" i="1"/>
  <c r="Y481" i="1"/>
  <c r="Z481" i="1"/>
  <c r="AA481" i="1"/>
  <c r="AC481" i="1"/>
  <c r="AE481" i="1"/>
  <c r="AF481" i="1"/>
  <c r="AG481" i="1"/>
  <c r="AK481" i="1"/>
  <c r="AS481" i="1"/>
  <c r="AT481" i="1"/>
  <c r="B482" i="1"/>
  <c r="C482" i="1"/>
  <c r="D482" i="1"/>
  <c r="E482" i="1"/>
  <c r="F482" i="1"/>
  <c r="G482" i="1"/>
  <c r="H482" i="1"/>
  <c r="I482" i="1"/>
  <c r="J482" i="1"/>
  <c r="K482" i="1"/>
  <c r="L482" i="1"/>
  <c r="M482" i="1"/>
  <c r="N482" i="1"/>
  <c r="O482" i="1"/>
  <c r="W482" i="1"/>
  <c r="Y482" i="1"/>
  <c r="Z482" i="1"/>
  <c r="AA482" i="1"/>
  <c r="AC482" i="1"/>
  <c r="AE482" i="1"/>
  <c r="AF482" i="1"/>
  <c r="AG482" i="1"/>
  <c r="AK482" i="1"/>
  <c r="AS482" i="1"/>
  <c r="AT482" i="1"/>
  <c r="B483" i="1"/>
  <c r="C483" i="1"/>
  <c r="D483" i="1"/>
  <c r="E483" i="1"/>
  <c r="F483" i="1"/>
  <c r="G483" i="1"/>
  <c r="H483" i="1"/>
  <c r="I483" i="1"/>
  <c r="J483" i="1"/>
  <c r="K483" i="1"/>
  <c r="L483" i="1"/>
  <c r="M483" i="1"/>
  <c r="N483" i="1"/>
  <c r="O483" i="1"/>
  <c r="S483" i="1"/>
  <c r="T483" i="1"/>
  <c r="U483" i="1"/>
  <c r="W483" i="1"/>
  <c r="Y483" i="1"/>
  <c r="Z483" i="1"/>
  <c r="AA483" i="1"/>
  <c r="AC483" i="1"/>
  <c r="AE483" i="1"/>
  <c r="AF483" i="1"/>
  <c r="AG483" i="1"/>
  <c r="AK483" i="1"/>
  <c r="AS483" i="1"/>
  <c r="AT483" i="1"/>
  <c r="B484" i="1"/>
  <c r="C484" i="1"/>
  <c r="D484" i="1"/>
  <c r="E484" i="1"/>
  <c r="F484" i="1"/>
  <c r="H484" i="1"/>
  <c r="I484" i="1"/>
  <c r="J484" i="1"/>
  <c r="K484" i="1"/>
  <c r="L484" i="1"/>
  <c r="M484" i="1"/>
  <c r="N484" i="1"/>
  <c r="O484" i="1"/>
  <c r="W484" i="1"/>
  <c r="Y484" i="1"/>
  <c r="Z484" i="1"/>
  <c r="AA484" i="1"/>
  <c r="AC484" i="1"/>
  <c r="AE484" i="1"/>
  <c r="AF484" i="1"/>
  <c r="AG484" i="1"/>
  <c r="AK484" i="1"/>
  <c r="AS484" i="1"/>
  <c r="AT484" i="1"/>
  <c r="B485" i="1"/>
  <c r="C485" i="1"/>
  <c r="D485" i="1"/>
  <c r="E485" i="1"/>
  <c r="F485" i="1"/>
  <c r="H485" i="1"/>
  <c r="I485" i="1"/>
  <c r="J485" i="1"/>
  <c r="K485" i="1"/>
  <c r="L485" i="1"/>
  <c r="M485" i="1"/>
  <c r="N485" i="1"/>
  <c r="O485" i="1"/>
  <c r="W485" i="1"/>
  <c r="Y485" i="1"/>
  <c r="Z485" i="1"/>
  <c r="AA485" i="1"/>
  <c r="AC485" i="1"/>
  <c r="AE485" i="1"/>
  <c r="AF485" i="1"/>
  <c r="AG485" i="1"/>
  <c r="AK485" i="1"/>
  <c r="AS485" i="1"/>
  <c r="AT485" i="1"/>
  <c r="B486" i="1"/>
  <c r="C486" i="1"/>
  <c r="D486" i="1"/>
  <c r="E486" i="1"/>
  <c r="F486" i="1"/>
  <c r="H486" i="1"/>
  <c r="I486" i="1"/>
  <c r="J486" i="1"/>
  <c r="K486" i="1"/>
  <c r="L486" i="1"/>
  <c r="M486" i="1"/>
  <c r="N486" i="1"/>
  <c r="O486" i="1"/>
  <c r="S486" i="1"/>
  <c r="T486" i="1"/>
  <c r="U486" i="1"/>
  <c r="W486" i="1"/>
  <c r="Y486" i="1"/>
  <c r="Z486" i="1"/>
  <c r="AA486" i="1"/>
  <c r="AC486" i="1"/>
  <c r="AE486" i="1"/>
  <c r="AF486" i="1"/>
  <c r="AG486" i="1"/>
  <c r="AK486" i="1"/>
  <c r="AS486" i="1"/>
  <c r="AT486" i="1"/>
  <c r="B487" i="1"/>
  <c r="C487" i="1"/>
  <c r="D487" i="1"/>
  <c r="E487" i="1"/>
  <c r="F487" i="1"/>
  <c r="H487" i="1"/>
  <c r="I487" i="1"/>
  <c r="J487" i="1"/>
  <c r="K487" i="1"/>
  <c r="L487" i="1"/>
  <c r="M487" i="1"/>
  <c r="N487" i="1"/>
  <c r="O487" i="1"/>
  <c r="S487" i="1"/>
  <c r="T487" i="1"/>
  <c r="U487" i="1"/>
  <c r="W487" i="1"/>
  <c r="Y487" i="1"/>
  <c r="Z487" i="1"/>
  <c r="AA487" i="1"/>
  <c r="AC487" i="1"/>
  <c r="AE487" i="1"/>
  <c r="AF487" i="1"/>
  <c r="AG487" i="1"/>
  <c r="AK487" i="1"/>
  <c r="AS487" i="1"/>
  <c r="AT487" i="1"/>
  <c r="B488" i="1"/>
  <c r="C488" i="1"/>
  <c r="D488" i="1"/>
  <c r="E488" i="1"/>
  <c r="F488" i="1"/>
  <c r="H488" i="1"/>
  <c r="I488" i="1"/>
  <c r="J488" i="1"/>
  <c r="K488" i="1"/>
  <c r="L488" i="1"/>
  <c r="M488" i="1"/>
  <c r="N488" i="1"/>
  <c r="O488" i="1"/>
  <c r="S488" i="1"/>
  <c r="T488" i="1"/>
  <c r="U488" i="1"/>
  <c r="W488" i="1"/>
  <c r="Y488" i="1"/>
  <c r="Z488" i="1"/>
  <c r="AA488" i="1"/>
  <c r="AC488" i="1"/>
  <c r="AE488" i="1"/>
  <c r="AF488" i="1"/>
  <c r="AG488" i="1"/>
  <c r="AK488" i="1"/>
  <c r="AS488" i="1"/>
  <c r="AT488" i="1"/>
  <c r="B489" i="1"/>
  <c r="C489" i="1"/>
  <c r="D489" i="1"/>
  <c r="E489" i="1"/>
  <c r="F489" i="1"/>
  <c r="G489" i="1"/>
  <c r="H489" i="1"/>
  <c r="I489" i="1"/>
  <c r="J489" i="1"/>
  <c r="K489" i="1"/>
  <c r="L489" i="1"/>
  <c r="M489" i="1"/>
  <c r="N489" i="1"/>
  <c r="O489" i="1"/>
  <c r="S489" i="1"/>
  <c r="T489" i="1"/>
  <c r="U489" i="1"/>
  <c r="W489" i="1"/>
  <c r="Y489" i="1"/>
  <c r="Z489" i="1"/>
  <c r="AA489" i="1"/>
  <c r="AC489" i="1"/>
  <c r="AE489" i="1"/>
  <c r="AF489" i="1"/>
  <c r="AG489" i="1"/>
  <c r="AK489" i="1"/>
  <c r="AS489" i="1"/>
  <c r="AT489" i="1"/>
  <c r="B490" i="1"/>
  <c r="C490" i="1"/>
  <c r="D490" i="1"/>
  <c r="E490" i="1"/>
  <c r="F490" i="1"/>
  <c r="G490" i="1"/>
  <c r="H490" i="1"/>
  <c r="I490" i="1"/>
  <c r="J490" i="1"/>
  <c r="K490" i="1"/>
  <c r="L490" i="1"/>
  <c r="M490" i="1"/>
  <c r="N490" i="1"/>
  <c r="O490" i="1"/>
  <c r="S490" i="1"/>
  <c r="T490" i="1"/>
  <c r="U490" i="1"/>
  <c r="W490" i="1"/>
  <c r="Y490" i="1"/>
  <c r="Z490" i="1"/>
  <c r="AA490" i="1"/>
  <c r="AC490" i="1"/>
  <c r="AE490" i="1"/>
  <c r="AF490" i="1"/>
  <c r="AG490" i="1"/>
  <c r="AK490" i="1"/>
  <c r="AS490" i="1"/>
  <c r="AT490" i="1"/>
  <c r="B491" i="1"/>
  <c r="C491" i="1"/>
  <c r="D491" i="1"/>
  <c r="E491" i="1"/>
  <c r="F491" i="1"/>
  <c r="H491" i="1"/>
  <c r="I491" i="1"/>
  <c r="J491" i="1"/>
  <c r="K491" i="1"/>
  <c r="L491" i="1"/>
  <c r="M491" i="1"/>
  <c r="N491" i="1"/>
  <c r="O491" i="1"/>
  <c r="W491" i="1"/>
  <c r="Y491" i="1"/>
  <c r="Z491" i="1"/>
  <c r="AA491" i="1"/>
  <c r="AC491" i="1"/>
  <c r="AE491" i="1"/>
  <c r="AF491" i="1"/>
  <c r="AG491" i="1"/>
  <c r="AK491" i="1"/>
  <c r="AS491" i="1"/>
  <c r="AT491" i="1"/>
  <c r="B492" i="1"/>
  <c r="C492" i="1"/>
  <c r="D492" i="1"/>
  <c r="E492" i="1"/>
  <c r="F492" i="1"/>
  <c r="G492" i="1"/>
  <c r="H492" i="1"/>
  <c r="I492" i="1"/>
  <c r="J492" i="1"/>
  <c r="K492" i="1"/>
  <c r="L492" i="1"/>
  <c r="M492" i="1"/>
  <c r="N492" i="1"/>
  <c r="O492" i="1"/>
  <c r="S492" i="1"/>
  <c r="T492" i="1"/>
  <c r="U492" i="1"/>
  <c r="V492" i="1"/>
  <c r="W492" i="1"/>
  <c r="Y492" i="1"/>
  <c r="Z492" i="1"/>
  <c r="AA492" i="1"/>
  <c r="AC492" i="1"/>
  <c r="AE492" i="1"/>
  <c r="AF492" i="1"/>
  <c r="AG492" i="1"/>
  <c r="AK492" i="1"/>
  <c r="AS492" i="1"/>
  <c r="AT492" i="1"/>
  <c r="B493" i="1"/>
  <c r="C493" i="1"/>
  <c r="D493" i="1"/>
  <c r="E493" i="1"/>
  <c r="F493" i="1"/>
  <c r="G493" i="1"/>
  <c r="H493" i="1"/>
  <c r="I493" i="1"/>
  <c r="J493" i="1"/>
  <c r="K493" i="1"/>
  <c r="L493" i="1"/>
  <c r="M493" i="1"/>
  <c r="N493" i="1"/>
  <c r="O493" i="1"/>
  <c r="S493" i="1"/>
  <c r="U493" i="1"/>
  <c r="W493" i="1"/>
  <c r="Y493" i="1"/>
  <c r="Z493" i="1"/>
  <c r="AA493" i="1"/>
  <c r="AC493" i="1"/>
  <c r="AE493" i="1"/>
  <c r="AF493" i="1"/>
  <c r="AG493" i="1"/>
  <c r="AK493" i="1"/>
  <c r="AS493" i="1"/>
  <c r="AT493" i="1"/>
  <c r="B494" i="1"/>
  <c r="C494" i="1"/>
  <c r="D494" i="1"/>
  <c r="E494" i="1"/>
  <c r="F494" i="1"/>
  <c r="G494" i="1"/>
  <c r="H494" i="1"/>
  <c r="I494" i="1"/>
  <c r="J494" i="1"/>
  <c r="K494" i="1"/>
  <c r="L494" i="1"/>
  <c r="M494" i="1"/>
  <c r="N494" i="1"/>
  <c r="O494" i="1"/>
  <c r="W494" i="1"/>
  <c r="Y494" i="1"/>
  <c r="Z494" i="1"/>
  <c r="AA494" i="1"/>
  <c r="AC494" i="1"/>
  <c r="AE494" i="1"/>
  <c r="AF494" i="1"/>
  <c r="AG494" i="1"/>
  <c r="AK494" i="1"/>
  <c r="AS494" i="1"/>
  <c r="AT494" i="1"/>
  <c r="B495" i="1"/>
  <c r="C495" i="1"/>
  <c r="D495" i="1"/>
  <c r="E495" i="1"/>
  <c r="F495" i="1"/>
  <c r="G495" i="1"/>
  <c r="H495" i="1"/>
  <c r="I495" i="1"/>
  <c r="J495" i="1"/>
  <c r="K495" i="1"/>
  <c r="L495" i="1"/>
  <c r="M495" i="1"/>
  <c r="N495" i="1"/>
  <c r="O495" i="1"/>
  <c r="S495" i="1"/>
  <c r="T495" i="1"/>
  <c r="U495" i="1"/>
  <c r="W495" i="1"/>
  <c r="Y495" i="1"/>
  <c r="Z495" i="1"/>
  <c r="AA495" i="1"/>
  <c r="AC495" i="1"/>
  <c r="AE495" i="1"/>
  <c r="AF495" i="1"/>
  <c r="AG495" i="1"/>
  <c r="AK495" i="1"/>
  <c r="AS495" i="1"/>
  <c r="AT495" i="1"/>
  <c r="B496" i="1"/>
  <c r="C496" i="1"/>
  <c r="D496" i="1"/>
  <c r="E496" i="1"/>
  <c r="F496" i="1"/>
  <c r="G496" i="1"/>
  <c r="H496" i="1"/>
  <c r="I496" i="1"/>
  <c r="J496" i="1"/>
  <c r="K496" i="1"/>
  <c r="L496" i="1"/>
  <c r="M496" i="1"/>
  <c r="N496" i="1"/>
  <c r="O496" i="1"/>
  <c r="W496" i="1"/>
  <c r="Y496" i="1"/>
  <c r="Z496" i="1"/>
  <c r="AA496" i="1"/>
  <c r="AC496" i="1"/>
  <c r="AE496" i="1"/>
  <c r="AF496" i="1"/>
  <c r="AG496" i="1"/>
  <c r="AK496" i="1"/>
  <c r="AS496" i="1"/>
  <c r="AT496" i="1"/>
  <c r="B497" i="1"/>
  <c r="C497" i="1"/>
  <c r="D497" i="1"/>
  <c r="E497" i="1"/>
  <c r="F497" i="1"/>
  <c r="H497" i="1"/>
  <c r="I497" i="1"/>
  <c r="J497" i="1"/>
  <c r="K497" i="1"/>
  <c r="L497" i="1"/>
  <c r="M497" i="1"/>
  <c r="N497" i="1"/>
  <c r="O497" i="1"/>
  <c r="W497" i="1"/>
  <c r="Y497" i="1"/>
  <c r="Z497" i="1"/>
  <c r="AA497" i="1"/>
  <c r="AC497" i="1"/>
  <c r="AE497" i="1"/>
  <c r="AF497" i="1"/>
  <c r="AG497" i="1"/>
  <c r="AK497" i="1"/>
  <c r="AS497" i="1"/>
  <c r="AT497" i="1"/>
  <c r="B498" i="1"/>
  <c r="C498" i="1"/>
  <c r="D498" i="1"/>
  <c r="E498" i="1"/>
  <c r="F498" i="1"/>
  <c r="H498" i="1"/>
  <c r="I498" i="1"/>
  <c r="J498" i="1"/>
  <c r="K498" i="1"/>
  <c r="L498" i="1"/>
  <c r="M498" i="1"/>
  <c r="N498" i="1"/>
  <c r="O498" i="1"/>
  <c r="W498" i="1"/>
  <c r="Y498" i="1"/>
  <c r="Z498" i="1"/>
  <c r="AA498" i="1"/>
  <c r="AC498" i="1"/>
  <c r="AE498" i="1"/>
  <c r="AF498" i="1"/>
  <c r="AG498" i="1"/>
  <c r="AK498" i="1"/>
  <c r="AT498" i="1"/>
  <c r="B499" i="1"/>
  <c r="C499" i="1"/>
  <c r="D499" i="1"/>
  <c r="E499" i="1"/>
  <c r="F499" i="1"/>
  <c r="H499" i="1"/>
  <c r="I499" i="1"/>
  <c r="J499" i="1"/>
  <c r="K499" i="1"/>
  <c r="L499" i="1"/>
  <c r="M499" i="1"/>
  <c r="N499" i="1"/>
  <c r="O499" i="1"/>
  <c r="W499" i="1"/>
  <c r="Y499" i="1"/>
  <c r="Z499" i="1"/>
  <c r="AA499" i="1"/>
  <c r="AC499" i="1"/>
  <c r="AE499" i="1"/>
  <c r="AF499" i="1"/>
  <c r="AG499" i="1"/>
  <c r="AK499" i="1"/>
  <c r="AS499" i="1"/>
  <c r="AT499" i="1"/>
  <c r="B500" i="1"/>
  <c r="C500" i="1"/>
  <c r="D500" i="1"/>
  <c r="E500" i="1"/>
  <c r="F500" i="1"/>
  <c r="H500" i="1"/>
  <c r="I500" i="1"/>
  <c r="J500" i="1"/>
  <c r="K500" i="1"/>
  <c r="L500" i="1"/>
  <c r="M500" i="1"/>
  <c r="N500" i="1"/>
  <c r="O500" i="1"/>
  <c r="W500" i="1"/>
  <c r="Y500" i="1"/>
  <c r="Z500" i="1"/>
  <c r="AA500" i="1"/>
  <c r="AC500" i="1"/>
  <c r="AE500" i="1"/>
  <c r="AF500" i="1"/>
  <c r="AG500" i="1"/>
  <c r="AK500" i="1"/>
  <c r="AS500" i="1"/>
  <c r="AT500" i="1"/>
  <c r="B501" i="1"/>
  <c r="C501" i="1"/>
  <c r="D501" i="1"/>
  <c r="E501" i="1"/>
  <c r="F501" i="1"/>
  <c r="H501" i="1"/>
  <c r="I501" i="1"/>
  <c r="J501" i="1"/>
  <c r="K501" i="1"/>
  <c r="L501" i="1"/>
  <c r="M501" i="1"/>
  <c r="N501" i="1"/>
  <c r="O501" i="1"/>
  <c r="W501" i="1"/>
  <c r="Y501" i="1"/>
  <c r="Z501" i="1"/>
  <c r="AA501" i="1"/>
  <c r="AC501" i="1"/>
  <c r="AE501" i="1"/>
  <c r="AF501" i="1"/>
  <c r="AG501" i="1"/>
  <c r="AK501" i="1"/>
  <c r="AS501" i="1"/>
  <c r="AT501" i="1"/>
  <c r="B502" i="1"/>
  <c r="C502" i="1"/>
  <c r="D502" i="1"/>
  <c r="E502" i="1"/>
  <c r="F502" i="1"/>
  <c r="G502" i="1"/>
  <c r="H502" i="1"/>
  <c r="I502" i="1"/>
  <c r="J502" i="1"/>
  <c r="K502" i="1"/>
  <c r="L502" i="1"/>
  <c r="M502" i="1"/>
  <c r="N502" i="1"/>
  <c r="O502" i="1"/>
  <c r="W502" i="1"/>
  <c r="Y502" i="1"/>
  <c r="Z502" i="1"/>
  <c r="AA502" i="1"/>
  <c r="AC502" i="1"/>
  <c r="AE502" i="1"/>
  <c r="AF502" i="1"/>
  <c r="AG502" i="1"/>
  <c r="AK502" i="1"/>
  <c r="AS502" i="1"/>
  <c r="AT502" i="1"/>
  <c r="B503" i="1"/>
  <c r="C503" i="1"/>
  <c r="D503" i="1"/>
  <c r="E503" i="1"/>
  <c r="F503" i="1"/>
  <c r="H503" i="1"/>
  <c r="I503" i="1"/>
  <c r="J503" i="1"/>
  <c r="K503" i="1"/>
  <c r="L503" i="1"/>
  <c r="M503" i="1"/>
  <c r="N503" i="1"/>
  <c r="O503" i="1"/>
  <c r="W503" i="1"/>
  <c r="Y503" i="1"/>
  <c r="Z503" i="1"/>
  <c r="AA503" i="1"/>
  <c r="AC503" i="1"/>
  <c r="AD503" i="1"/>
  <c r="AE503" i="1"/>
  <c r="AF503" i="1"/>
  <c r="AG503" i="1"/>
  <c r="AK503" i="1"/>
  <c r="AS503" i="1"/>
  <c r="AT503" i="1"/>
  <c r="B504" i="1"/>
  <c r="C504" i="1"/>
  <c r="D504" i="1"/>
  <c r="E504" i="1"/>
  <c r="F504" i="1"/>
  <c r="H504" i="1"/>
  <c r="I504" i="1"/>
  <c r="J504" i="1"/>
  <c r="K504" i="1"/>
  <c r="L504" i="1"/>
  <c r="M504" i="1"/>
  <c r="N504" i="1"/>
  <c r="O504" i="1"/>
  <c r="W504" i="1"/>
  <c r="Y504" i="1"/>
  <c r="Z504" i="1"/>
  <c r="AA504" i="1"/>
  <c r="AC504" i="1"/>
  <c r="AD504" i="1"/>
  <c r="AE504" i="1"/>
  <c r="AF504" i="1"/>
  <c r="AG504" i="1"/>
  <c r="AK504" i="1"/>
  <c r="AS504" i="1"/>
  <c r="AT504" i="1"/>
  <c r="B505" i="1"/>
  <c r="C505" i="1"/>
  <c r="D505" i="1"/>
  <c r="E505" i="1"/>
  <c r="F505" i="1"/>
  <c r="H505" i="1"/>
  <c r="I505" i="1"/>
  <c r="J505" i="1"/>
  <c r="K505" i="1"/>
  <c r="L505" i="1"/>
  <c r="M505" i="1"/>
  <c r="N505" i="1"/>
  <c r="O505" i="1"/>
  <c r="W505" i="1"/>
  <c r="Y505" i="1"/>
  <c r="Z505" i="1"/>
  <c r="AA505" i="1"/>
  <c r="AC505" i="1"/>
  <c r="AD505" i="1"/>
  <c r="AE505" i="1"/>
  <c r="AF505" i="1"/>
  <c r="AG505" i="1"/>
  <c r="AK505" i="1"/>
  <c r="AS505" i="1"/>
  <c r="AT505" i="1"/>
  <c r="B506" i="1"/>
  <c r="C506" i="1"/>
  <c r="D506" i="1"/>
  <c r="E506" i="1"/>
  <c r="F506" i="1"/>
  <c r="G506" i="1"/>
  <c r="H506" i="1"/>
  <c r="I506" i="1"/>
  <c r="J506" i="1"/>
  <c r="K506" i="1"/>
  <c r="L506" i="1"/>
  <c r="M506" i="1"/>
  <c r="N506" i="1"/>
  <c r="O506" i="1"/>
  <c r="S506" i="1"/>
  <c r="T506" i="1"/>
  <c r="U506" i="1"/>
  <c r="W506" i="1"/>
  <c r="Y506" i="1"/>
  <c r="Z506" i="1"/>
  <c r="AA506" i="1"/>
  <c r="AC506" i="1"/>
  <c r="AE506" i="1"/>
  <c r="AF506" i="1"/>
  <c r="AG506" i="1"/>
  <c r="AK506" i="1"/>
  <c r="AS506" i="1"/>
  <c r="AT506" i="1"/>
  <c r="B507" i="1"/>
  <c r="C507" i="1"/>
  <c r="D507" i="1"/>
  <c r="E507" i="1"/>
  <c r="F507" i="1"/>
  <c r="H507" i="1"/>
  <c r="I507" i="1"/>
  <c r="J507" i="1"/>
  <c r="K507" i="1"/>
  <c r="L507" i="1"/>
  <c r="M507" i="1"/>
  <c r="N507" i="1"/>
  <c r="O507" i="1"/>
  <c r="W507" i="1"/>
  <c r="Y507" i="1"/>
  <c r="Z507" i="1"/>
  <c r="AA507" i="1"/>
  <c r="AC507" i="1"/>
  <c r="AE507" i="1"/>
  <c r="AF507" i="1"/>
  <c r="AG507" i="1"/>
  <c r="AK507" i="1"/>
  <c r="AS507" i="1"/>
  <c r="AT507" i="1"/>
  <c r="B508" i="1"/>
  <c r="C508" i="1"/>
  <c r="D508" i="1"/>
  <c r="E508" i="1"/>
  <c r="F508" i="1"/>
  <c r="H508" i="1"/>
  <c r="I508" i="1"/>
  <c r="J508" i="1"/>
  <c r="K508" i="1"/>
  <c r="L508" i="1"/>
  <c r="M508" i="1"/>
  <c r="N508" i="1"/>
  <c r="O508" i="1"/>
  <c r="W508" i="1"/>
  <c r="Y508" i="1"/>
  <c r="Z508" i="1"/>
  <c r="AA508" i="1"/>
  <c r="AC508" i="1"/>
  <c r="AD508" i="1"/>
  <c r="AE508" i="1"/>
  <c r="AF508" i="1"/>
  <c r="AG508" i="1"/>
  <c r="AK508" i="1"/>
  <c r="AS508" i="1"/>
  <c r="AT508" i="1"/>
  <c r="B509" i="1"/>
  <c r="C509" i="1"/>
  <c r="D509" i="1"/>
  <c r="E509" i="1"/>
  <c r="F509" i="1"/>
  <c r="H509" i="1"/>
  <c r="I509" i="1"/>
  <c r="J509" i="1"/>
  <c r="K509" i="1"/>
  <c r="L509" i="1"/>
  <c r="M509" i="1"/>
  <c r="N509" i="1"/>
  <c r="O509" i="1"/>
  <c r="S509" i="1"/>
  <c r="T509" i="1"/>
  <c r="U509" i="1"/>
  <c r="W509" i="1"/>
  <c r="Y509" i="1"/>
  <c r="Z509" i="1"/>
  <c r="AA509" i="1"/>
  <c r="AC509" i="1"/>
  <c r="AE509" i="1"/>
  <c r="AF509" i="1"/>
  <c r="AG509" i="1"/>
  <c r="AK509" i="1"/>
  <c r="AS509" i="1"/>
  <c r="AT509" i="1"/>
  <c r="B510" i="1"/>
  <c r="C510" i="1"/>
  <c r="D510" i="1"/>
  <c r="E510" i="1"/>
  <c r="F510" i="1"/>
  <c r="G510" i="1"/>
  <c r="H510" i="1"/>
  <c r="I510" i="1"/>
  <c r="J510" i="1"/>
  <c r="K510" i="1"/>
  <c r="L510" i="1"/>
  <c r="M510" i="1"/>
  <c r="N510" i="1"/>
  <c r="O510" i="1"/>
  <c r="W510" i="1"/>
  <c r="Y510" i="1"/>
  <c r="Z510" i="1"/>
  <c r="AA510" i="1"/>
  <c r="AC510" i="1"/>
  <c r="AE510" i="1"/>
  <c r="AF510" i="1"/>
  <c r="AG510" i="1"/>
  <c r="AK510" i="1"/>
  <c r="AS510" i="1"/>
  <c r="AT510" i="1"/>
  <c r="B511" i="1"/>
  <c r="C511" i="1"/>
  <c r="D511" i="1"/>
  <c r="E511" i="1"/>
  <c r="F511" i="1"/>
  <c r="G511" i="1"/>
  <c r="H511" i="1"/>
  <c r="I511" i="1"/>
  <c r="J511" i="1"/>
  <c r="K511" i="1"/>
  <c r="L511" i="1"/>
  <c r="M511" i="1"/>
  <c r="N511" i="1"/>
  <c r="O511" i="1"/>
  <c r="W511" i="1"/>
  <c r="Y511" i="1"/>
  <c r="Z511" i="1"/>
  <c r="AA511" i="1"/>
  <c r="AC511" i="1"/>
  <c r="AE511" i="1"/>
  <c r="AF511" i="1"/>
  <c r="AG511" i="1"/>
  <c r="AK511" i="1"/>
  <c r="AS511" i="1"/>
  <c r="AT511" i="1"/>
  <c r="B512" i="1"/>
  <c r="C512" i="1"/>
  <c r="D512" i="1"/>
  <c r="E512" i="1"/>
  <c r="F512" i="1"/>
  <c r="H512" i="1"/>
  <c r="I512" i="1"/>
  <c r="J512" i="1"/>
  <c r="K512" i="1"/>
  <c r="L512" i="1"/>
  <c r="M512" i="1"/>
  <c r="N512" i="1"/>
  <c r="O512" i="1"/>
  <c r="W512" i="1"/>
  <c r="Y512" i="1"/>
  <c r="Z512" i="1"/>
  <c r="AA512" i="1"/>
  <c r="AC512" i="1"/>
  <c r="AD512" i="1"/>
  <c r="AE512" i="1"/>
  <c r="AF512" i="1"/>
  <c r="AG512" i="1"/>
  <c r="AK512" i="1"/>
  <c r="AS512" i="1"/>
  <c r="AT512" i="1"/>
  <c r="B513" i="1"/>
  <c r="C513" i="1"/>
  <c r="D513" i="1"/>
  <c r="E513" i="1"/>
  <c r="F513" i="1"/>
  <c r="G513" i="1"/>
  <c r="H513" i="1"/>
  <c r="I513" i="1"/>
  <c r="J513" i="1"/>
  <c r="K513" i="1"/>
  <c r="L513" i="1"/>
  <c r="M513" i="1"/>
  <c r="N513" i="1"/>
  <c r="O513" i="1"/>
  <c r="W513" i="1"/>
  <c r="Y513" i="1"/>
  <c r="Z513" i="1"/>
  <c r="AA513" i="1"/>
  <c r="AC513" i="1"/>
  <c r="AE513" i="1"/>
  <c r="AF513" i="1"/>
  <c r="AG513" i="1"/>
  <c r="AK513" i="1"/>
  <c r="AS513" i="1"/>
  <c r="AT513" i="1"/>
  <c r="B514" i="1"/>
  <c r="C514" i="1"/>
  <c r="D514" i="1"/>
  <c r="E514" i="1"/>
  <c r="F514" i="1"/>
  <c r="H514" i="1"/>
  <c r="I514" i="1"/>
  <c r="J514" i="1"/>
  <c r="K514" i="1"/>
  <c r="L514" i="1"/>
  <c r="M514" i="1"/>
  <c r="N514" i="1"/>
  <c r="O514" i="1"/>
  <c r="Q514" i="1"/>
  <c r="W514" i="1"/>
  <c r="Y514" i="1"/>
  <c r="Z514" i="1"/>
  <c r="AA514" i="1"/>
  <c r="AC514" i="1"/>
  <c r="AE514" i="1"/>
  <c r="AF514" i="1"/>
  <c r="AG514" i="1"/>
  <c r="AK514" i="1"/>
  <c r="AS514" i="1"/>
  <c r="AT514" i="1"/>
  <c r="B515" i="1"/>
  <c r="C515" i="1"/>
  <c r="D515" i="1"/>
  <c r="E515" i="1"/>
  <c r="F515" i="1"/>
  <c r="G515" i="1"/>
  <c r="H515" i="1"/>
  <c r="I515" i="1"/>
  <c r="J515" i="1"/>
  <c r="K515" i="1"/>
  <c r="L515" i="1"/>
  <c r="M515" i="1"/>
  <c r="N515" i="1"/>
  <c r="O515" i="1"/>
  <c r="W515" i="1"/>
  <c r="Y515" i="1"/>
  <c r="Z515" i="1"/>
  <c r="AA515" i="1"/>
  <c r="AC515" i="1"/>
  <c r="AE515" i="1"/>
  <c r="AF515" i="1"/>
  <c r="AG515" i="1"/>
  <c r="AK515" i="1"/>
  <c r="AS515" i="1"/>
  <c r="AT515" i="1"/>
  <c r="B516" i="1"/>
  <c r="C516" i="1"/>
  <c r="D516" i="1"/>
  <c r="E516" i="1"/>
  <c r="F516" i="1"/>
  <c r="H516" i="1"/>
  <c r="I516" i="1"/>
  <c r="J516" i="1"/>
  <c r="K516" i="1"/>
  <c r="L516" i="1"/>
  <c r="M516" i="1"/>
  <c r="N516" i="1"/>
  <c r="O516" i="1"/>
  <c r="W516" i="1"/>
  <c r="Y516" i="1"/>
  <c r="Z516" i="1"/>
  <c r="AA516" i="1"/>
  <c r="AC516" i="1"/>
  <c r="AD516" i="1"/>
  <c r="AE516" i="1"/>
  <c r="AF516" i="1"/>
  <c r="AG516" i="1"/>
  <c r="AK516" i="1"/>
  <c r="AS516" i="1"/>
  <c r="AT516" i="1"/>
  <c r="B517" i="1"/>
  <c r="C517" i="1"/>
  <c r="D517" i="1"/>
  <c r="E517" i="1"/>
  <c r="F517" i="1"/>
  <c r="H517" i="1"/>
  <c r="I517" i="1"/>
  <c r="J517" i="1"/>
  <c r="K517" i="1"/>
  <c r="L517" i="1"/>
  <c r="M517" i="1"/>
  <c r="N517" i="1"/>
  <c r="O517" i="1"/>
  <c r="W517" i="1"/>
  <c r="Y517" i="1"/>
  <c r="Z517" i="1"/>
  <c r="AA517" i="1"/>
  <c r="AC517" i="1"/>
  <c r="AE517" i="1"/>
  <c r="AF517" i="1"/>
  <c r="AG517" i="1"/>
  <c r="AK517" i="1"/>
  <c r="AS517" i="1"/>
  <c r="AT517" i="1"/>
  <c r="B518" i="1"/>
  <c r="C518" i="1"/>
  <c r="D518" i="1"/>
  <c r="E518" i="1"/>
  <c r="F518" i="1"/>
  <c r="H518" i="1"/>
  <c r="I518" i="1"/>
  <c r="J518" i="1"/>
  <c r="K518" i="1"/>
  <c r="L518" i="1"/>
  <c r="M518" i="1"/>
  <c r="N518" i="1"/>
  <c r="O518" i="1"/>
  <c r="W518" i="1"/>
  <c r="Y518" i="1"/>
  <c r="Z518" i="1"/>
  <c r="AA518" i="1"/>
  <c r="AC518" i="1"/>
  <c r="AD518" i="1"/>
  <c r="AE518" i="1"/>
  <c r="AF518" i="1"/>
  <c r="AG518" i="1"/>
  <c r="AK518" i="1"/>
  <c r="AS518" i="1"/>
  <c r="AT518" i="1"/>
  <c r="B519" i="1"/>
  <c r="C519" i="1"/>
  <c r="D519" i="1"/>
  <c r="E519" i="1"/>
  <c r="F519" i="1"/>
  <c r="H519" i="1"/>
  <c r="I519" i="1"/>
  <c r="J519" i="1"/>
  <c r="K519" i="1"/>
  <c r="L519" i="1"/>
  <c r="M519" i="1"/>
  <c r="N519" i="1"/>
  <c r="O519" i="1"/>
  <c r="W519" i="1"/>
  <c r="Y519" i="1"/>
  <c r="Z519" i="1"/>
  <c r="AA519" i="1"/>
  <c r="AC519" i="1"/>
  <c r="AD519" i="1"/>
  <c r="AE519" i="1"/>
  <c r="AF519" i="1"/>
  <c r="AG519" i="1"/>
  <c r="AK519" i="1"/>
  <c r="AS519" i="1"/>
  <c r="AT519" i="1"/>
  <c r="B520" i="1"/>
  <c r="C520" i="1"/>
  <c r="D520" i="1"/>
  <c r="E520" i="1"/>
  <c r="F520" i="1"/>
  <c r="G520" i="1"/>
  <c r="H520" i="1"/>
  <c r="I520" i="1"/>
  <c r="J520" i="1"/>
  <c r="K520" i="1"/>
  <c r="L520" i="1"/>
  <c r="M520" i="1"/>
  <c r="N520" i="1"/>
  <c r="O520" i="1"/>
  <c r="W520" i="1"/>
  <c r="Y520" i="1"/>
  <c r="Z520" i="1"/>
  <c r="AA520" i="1"/>
  <c r="AC520" i="1"/>
  <c r="AE520" i="1"/>
  <c r="AF520" i="1"/>
  <c r="AG520" i="1"/>
  <c r="AK520" i="1"/>
  <c r="AS520" i="1"/>
  <c r="AT520" i="1"/>
  <c r="B521" i="1"/>
  <c r="C521" i="1"/>
  <c r="D521" i="1"/>
  <c r="E521" i="1"/>
  <c r="F521" i="1"/>
  <c r="H521" i="1"/>
  <c r="I521" i="1"/>
  <c r="J521" i="1"/>
  <c r="K521" i="1"/>
  <c r="L521" i="1"/>
  <c r="M521" i="1"/>
  <c r="N521" i="1"/>
  <c r="O521" i="1"/>
  <c r="W521" i="1"/>
  <c r="Y521" i="1"/>
  <c r="Z521" i="1"/>
  <c r="AA521" i="1"/>
  <c r="AC521" i="1"/>
  <c r="AD521" i="1"/>
  <c r="AE521" i="1"/>
  <c r="AF521" i="1"/>
  <c r="AG521" i="1"/>
  <c r="AK521" i="1"/>
  <c r="AS521" i="1"/>
  <c r="AT521" i="1"/>
  <c r="B522" i="1"/>
  <c r="C522" i="1"/>
  <c r="D522" i="1"/>
  <c r="E522" i="1"/>
  <c r="F522" i="1"/>
  <c r="H522" i="1"/>
  <c r="I522" i="1"/>
  <c r="J522" i="1"/>
  <c r="K522" i="1"/>
  <c r="L522" i="1"/>
  <c r="M522" i="1"/>
  <c r="N522" i="1"/>
  <c r="O522" i="1"/>
  <c r="W522" i="1"/>
  <c r="Y522" i="1"/>
  <c r="Z522" i="1"/>
  <c r="AA522" i="1"/>
  <c r="AC522" i="1"/>
  <c r="AD522" i="1"/>
  <c r="AE522" i="1"/>
  <c r="AF522" i="1"/>
  <c r="AG522" i="1"/>
  <c r="AK522" i="1"/>
  <c r="AS522" i="1"/>
  <c r="AT522" i="1"/>
  <c r="B523" i="1"/>
  <c r="C523" i="1"/>
  <c r="D523" i="1"/>
  <c r="E523" i="1"/>
  <c r="F523" i="1"/>
  <c r="H523" i="1"/>
  <c r="I523" i="1"/>
  <c r="J523" i="1"/>
  <c r="K523" i="1"/>
  <c r="L523" i="1"/>
  <c r="M523" i="1"/>
  <c r="N523" i="1"/>
  <c r="O523" i="1"/>
  <c r="W523" i="1"/>
  <c r="Y523" i="1"/>
  <c r="Z523" i="1"/>
  <c r="AA523" i="1"/>
  <c r="AC523" i="1"/>
  <c r="AE523" i="1"/>
  <c r="AF523" i="1"/>
  <c r="AG523" i="1"/>
  <c r="AK523" i="1"/>
  <c r="AS523" i="1"/>
  <c r="AT523" i="1"/>
  <c r="B524" i="1"/>
  <c r="C524" i="1"/>
  <c r="D524" i="1"/>
  <c r="E524" i="1"/>
  <c r="F524" i="1"/>
  <c r="H524" i="1"/>
  <c r="I524" i="1"/>
  <c r="J524" i="1"/>
  <c r="K524" i="1"/>
  <c r="L524" i="1"/>
  <c r="M524" i="1"/>
  <c r="N524" i="1"/>
  <c r="O524" i="1"/>
  <c r="W524" i="1"/>
  <c r="Y524" i="1"/>
  <c r="Z524" i="1"/>
  <c r="AA524" i="1"/>
  <c r="AC524" i="1"/>
  <c r="AE524" i="1"/>
  <c r="AF524" i="1"/>
  <c r="AG524" i="1"/>
  <c r="AK524" i="1"/>
  <c r="AS524" i="1"/>
  <c r="AT524" i="1"/>
  <c r="B525" i="1"/>
  <c r="C525" i="1"/>
  <c r="D525" i="1"/>
  <c r="E525" i="1"/>
  <c r="F525" i="1"/>
  <c r="H525" i="1"/>
  <c r="I525" i="1"/>
  <c r="J525" i="1"/>
  <c r="K525" i="1"/>
  <c r="L525" i="1"/>
  <c r="M525" i="1"/>
  <c r="N525" i="1"/>
  <c r="O525" i="1"/>
  <c r="W525" i="1"/>
  <c r="Y525" i="1"/>
  <c r="Z525" i="1"/>
  <c r="AA525" i="1"/>
  <c r="AC525" i="1"/>
  <c r="AE525" i="1"/>
  <c r="AF525" i="1"/>
  <c r="AG525" i="1"/>
  <c r="AK525" i="1"/>
  <c r="AS525" i="1"/>
  <c r="AT525" i="1"/>
  <c r="B526" i="1"/>
  <c r="C526" i="1"/>
  <c r="D526" i="1"/>
  <c r="E526" i="1"/>
  <c r="F526" i="1"/>
  <c r="H526" i="1"/>
  <c r="I526" i="1"/>
  <c r="J526" i="1"/>
  <c r="K526" i="1"/>
  <c r="L526" i="1"/>
  <c r="M526" i="1"/>
  <c r="N526" i="1"/>
  <c r="O526" i="1"/>
  <c r="W526" i="1"/>
  <c r="Y526" i="1"/>
  <c r="Z526" i="1"/>
  <c r="AA526" i="1"/>
  <c r="AC526" i="1"/>
  <c r="AE526" i="1"/>
  <c r="AF526" i="1"/>
  <c r="AG526" i="1"/>
  <c r="AK526" i="1"/>
  <c r="AS526" i="1"/>
  <c r="AT526" i="1"/>
  <c r="B527" i="1"/>
  <c r="C527" i="1"/>
  <c r="D527" i="1"/>
  <c r="E527" i="1"/>
  <c r="F527" i="1"/>
  <c r="H527" i="1"/>
  <c r="I527" i="1"/>
  <c r="J527" i="1"/>
  <c r="K527" i="1"/>
  <c r="L527" i="1"/>
  <c r="M527" i="1"/>
  <c r="N527" i="1"/>
  <c r="O527" i="1"/>
  <c r="W527" i="1"/>
  <c r="Y527" i="1"/>
  <c r="Z527" i="1"/>
  <c r="AA527" i="1"/>
  <c r="AC527" i="1"/>
  <c r="AE527" i="1"/>
  <c r="AF527" i="1"/>
  <c r="AG527" i="1"/>
  <c r="AK527" i="1"/>
  <c r="AS527" i="1"/>
  <c r="AT527" i="1"/>
  <c r="B528" i="1"/>
  <c r="C528" i="1"/>
  <c r="D528" i="1"/>
  <c r="E528" i="1"/>
  <c r="F528" i="1"/>
  <c r="G528" i="1"/>
  <c r="H528" i="1"/>
  <c r="I528" i="1"/>
  <c r="J528" i="1"/>
  <c r="K528" i="1"/>
  <c r="L528" i="1"/>
  <c r="M528" i="1"/>
  <c r="N528" i="1"/>
  <c r="O528" i="1"/>
  <c r="W528" i="1"/>
  <c r="Y528" i="1"/>
  <c r="Z528" i="1"/>
  <c r="AA528" i="1"/>
  <c r="AC528" i="1"/>
  <c r="AE528" i="1"/>
  <c r="AF528" i="1"/>
  <c r="AG528" i="1"/>
  <c r="AK528" i="1"/>
  <c r="AS528" i="1"/>
  <c r="AT528" i="1"/>
  <c r="B529" i="1"/>
  <c r="C529" i="1"/>
  <c r="D529" i="1"/>
  <c r="E529" i="1"/>
  <c r="F529" i="1"/>
  <c r="G529" i="1"/>
  <c r="H529" i="1"/>
  <c r="I529" i="1"/>
  <c r="J529" i="1"/>
  <c r="K529" i="1"/>
  <c r="L529" i="1"/>
  <c r="M529" i="1"/>
  <c r="N529" i="1"/>
  <c r="O529" i="1"/>
  <c r="S529" i="1"/>
  <c r="T529" i="1"/>
  <c r="U529" i="1"/>
  <c r="W529" i="1"/>
  <c r="Y529" i="1"/>
  <c r="Z529" i="1"/>
  <c r="AA529" i="1"/>
  <c r="AC529" i="1"/>
  <c r="AE529" i="1"/>
  <c r="AF529" i="1"/>
  <c r="AG529" i="1"/>
  <c r="AK529" i="1"/>
  <c r="AS529" i="1"/>
  <c r="AT529" i="1"/>
  <c r="B530" i="1"/>
  <c r="C530" i="1"/>
  <c r="D530" i="1"/>
  <c r="E530" i="1"/>
  <c r="F530" i="1"/>
  <c r="H530" i="1"/>
  <c r="I530" i="1"/>
  <c r="J530" i="1"/>
  <c r="K530" i="1"/>
  <c r="L530" i="1"/>
  <c r="M530" i="1"/>
  <c r="N530" i="1"/>
  <c r="O530" i="1"/>
  <c r="S530" i="1"/>
  <c r="T530" i="1"/>
  <c r="U530" i="1"/>
  <c r="W530" i="1"/>
  <c r="Y530" i="1"/>
  <c r="Z530" i="1"/>
  <c r="AA530" i="1"/>
  <c r="AC530" i="1"/>
  <c r="AE530" i="1"/>
  <c r="AF530" i="1"/>
  <c r="AG530" i="1"/>
  <c r="AK530" i="1"/>
  <c r="AS530" i="1"/>
  <c r="AT530" i="1"/>
  <c r="B531" i="1"/>
  <c r="C531" i="1"/>
  <c r="D531" i="1"/>
  <c r="E531" i="1"/>
  <c r="F531" i="1"/>
  <c r="H531" i="1"/>
  <c r="I531" i="1"/>
  <c r="J531" i="1"/>
  <c r="K531" i="1"/>
  <c r="L531" i="1"/>
  <c r="M531" i="1"/>
  <c r="N531" i="1"/>
  <c r="O531" i="1"/>
  <c r="W531" i="1"/>
  <c r="Y531" i="1"/>
  <c r="Z531" i="1"/>
  <c r="AA531" i="1"/>
  <c r="AC531" i="1"/>
  <c r="AE531" i="1"/>
  <c r="AF531" i="1"/>
  <c r="AG531" i="1"/>
  <c r="AK531" i="1"/>
  <c r="AS531" i="1"/>
  <c r="AT531" i="1"/>
  <c r="B532" i="1"/>
  <c r="C532" i="1"/>
  <c r="D532" i="1"/>
  <c r="E532" i="1"/>
  <c r="F532" i="1"/>
  <c r="G532" i="1"/>
  <c r="H532" i="1"/>
  <c r="I532" i="1"/>
  <c r="J532" i="1"/>
  <c r="K532" i="1"/>
  <c r="L532" i="1"/>
  <c r="M532" i="1"/>
  <c r="N532" i="1"/>
  <c r="O532" i="1"/>
  <c r="W532" i="1"/>
  <c r="Y532" i="1"/>
  <c r="Z532" i="1"/>
  <c r="AA532" i="1"/>
  <c r="AC532" i="1"/>
  <c r="AE532" i="1"/>
  <c r="AF532" i="1"/>
  <c r="AG532" i="1"/>
  <c r="AK532" i="1"/>
  <c r="AS532" i="1"/>
  <c r="AT532" i="1"/>
  <c r="B533" i="1"/>
  <c r="C533" i="1"/>
  <c r="D533" i="1"/>
  <c r="E533" i="1"/>
  <c r="F533" i="1"/>
  <c r="G533" i="1"/>
  <c r="H533" i="1"/>
  <c r="I533" i="1"/>
  <c r="J533" i="1"/>
  <c r="K533" i="1"/>
  <c r="L533" i="1"/>
  <c r="M533" i="1"/>
  <c r="N533" i="1"/>
  <c r="O533" i="1"/>
  <c r="S533" i="1"/>
  <c r="T533" i="1"/>
  <c r="U533" i="1"/>
  <c r="W533" i="1"/>
  <c r="Y533" i="1"/>
  <c r="Z533" i="1"/>
  <c r="AA533" i="1"/>
  <c r="AC533" i="1"/>
  <c r="AE533" i="1"/>
  <c r="AF533" i="1"/>
  <c r="AG533" i="1"/>
  <c r="AK533" i="1"/>
  <c r="AS533" i="1"/>
  <c r="AT533" i="1"/>
  <c r="B534" i="1"/>
  <c r="C534" i="1"/>
  <c r="D534" i="1"/>
  <c r="E534" i="1"/>
  <c r="F534" i="1"/>
  <c r="G534" i="1"/>
  <c r="H534" i="1"/>
  <c r="I534" i="1"/>
  <c r="J534" i="1"/>
  <c r="K534" i="1"/>
  <c r="L534" i="1"/>
  <c r="M534" i="1"/>
  <c r="N534" i="1"/>
  <c r="O534" i="1"/>
  <c r="S534" i="1"/>
  <c r="U534" i="1"/>
  <c r="W534" i="1"/>
  <c r="Y534" i="1"/>
  <c r="Z534" i="1"/>
  <c r="AA534" i="1"/>
  <c r="AC534" i="1"/>
  <c r="AE534" i="1"/>
  <c r="AF534" i="1"/>
  <c r="AG534" i="1"/>
  <c r="AK534" i="1"/>
  <c r="AS534" i="1"/>
  <c r="AT534" i="1"/>
  <c r="B535" i="1"/>
  <c r="C535" i="1"/>
  <c r="D535" i="1"/>
  <c r="E535" i="1"/>
  <c r="F535" i="1"/>
  <c r="G535" i="1"/>
  <c r="H535" i="1"/>
  <c r="I535" i="1"/>
  <c r="J535" i="1"/>
  <c r="K535" i="1"/>
  <c r="L535" i="1"/>
  <c r="M535" i="1"/>
  <c r="N535" i="1"/>
  <c r="O535" i="1"/>
  <c r="W535" i="1"/>
  <c r="Y535" i="1"/>
  <c r="Z535" i="1"/>
  <c r="AA535" i="1"/>
  <c r="AC535" i="1"/>
  <c r="AE535" i="1"/>
  <c r="AF535" i="1"/>
  <c r="AG535" i="1"/>
  <c r="AK535" i="1"/>
  <c r="AS535" i="1"/>
  <c r="AT535" i="1"/>
  <c r="B536" i="1"/>
  <c r="C536" i="1"/>
  <c r="D536" i="1"/>
  <c r="E536" i="1"/>
  <c r="F536" i="1"/>
  <c r="H536" i="1"/>
  <c r="I536" i="1"/>
  <c r="J536" i="1"/>
  <c r="K536" i="1"/>
  <c r="L536" i="1"/>
  <c r="M536" i="1"/>
  <c r="N536" i="1"/>
  <c r="O536" i="1"/>
  <c r="W536" i="1"/>
  <c r="Y536" i="1"/>
  <c r="Z536" i="1"/>
  <c r="AA536" i="1"/>
  <c r="AC536" i="1"/>
  <c r="AE536" i="1"/>
  <c r="AF536" i="1"/>
  <c r="AG536" i="1"/>
  <c r="AK536" i="1"/>
  <c r="AS536" i="1"/>
  <c r="AT536" i="1"/>
  <c r="B537" i="1"/>
  <c r="C537" i="1"/>
  <c r="D537" i="1"/>
  <c r="E537" i="1"/>
  <c r="F537" i="1"/>
  <c r="G537" i="1"/>
  <c r="H537" i="1"/>
  <c r="I537" i="1"/>
  <c r="J537" i="1"/>
  <c r="K537" i="1"/>
  <c r="L537" i="1"/>
  <c r="M537" i="1"/>
  <c r="N537" i="1"/>
  <c r="O537" i="1"/>
  <c r="S537" i="1"/>
  <c r="T537" i="1"/>
  <c r="U537" i="1"/>
  <c r="W537" i="1"/>
  <c r="Y537" i="1"/>
  <c r="Z537" i="1"/>
  <c r="AA537" i="1"/>
  <c r="AC537" i="1"/>
  <c r="AE537" i="1"/>
  <c r="AF537" i="1"/>
  <c r="AG537" i="1"/>
  <c r="AK537" i="1"/>
  <c r="AS537" i="1"/>
  <c r="AT537" i="1"/>
  <c r="B538" i="1"/>
  <c r="C538" i="1"/>
  <c r="D538" i="1"/>
  <c r="E538" i="1"/>
  <c r="F538" i="1"/>
  <c r="G538" i="1"/>
  <c r="H538" i="1"/>
  <c r="I538" i="1"/>
  <c r="J538" i="1"/>
  <c r="K538" i="1"/>
  <c r="L538" i="1"/>
  <c r="M538" i="1"/>
  <c r="N538" i="1"/>
  <c r="O538" i="1"/>
  <c r="S538" i="1"/>
  <c r="T538" i="1"/>
  <c r="U538" i="1"/>
  <c r="W538" i="1"/>
  <c r="Y538" i="1"/>
  <c r="Z538" i="1"/>
  <c r="AA538" i="1"/>
  <c r="AC538" i="1"/>
  <c r="AE538" i="1"/>
  <c r="AF538" i="1"/>
  <c r="AG538" i="1"/>
  <c r="AK538" i="1"/>
  <c r="AS538" i="1"/>
  <c r="AT538" i="1"/>
  <c r="B539" i="1"/>
  <c r="C539" i="1"/>
  <c r="D539" i="1"/>
  <c r="E539" i="1"/>
  <c r="F539" i="1"/>
  <c r="H539" i="1"/>
  <c r="I539" i="1"/>
  <c r="J539" i="1"/>
  <c r="K539" i="1"/>
  <c r="L539" i="1"/>
  <c r="M539" i="1"/>
  <c r="N539" i="1"/>
  <c r="O539" i="1"/>
  <c r="S539" i="1"/>
  <c r="T539" i="1"/>
  <c r="U539" i="1"/>
  <c r="W539" i="1"/>
  <c r="Y539" i="1"/>
  <c r="Z539" i="1"/>
  <c r="AA539" i="1"/>
  <c r="AC539" i="1"/>
  <c r="AE539" i="1"/>
  <c r="AF539" i="1"/>
  <c r="AG539" i="1"/>
  <c r="AK539" i="1"/>
  <c r="AS539" i="1"/>
  <c r="AT539" i="1"/>
  <c r="B540" i="1"/>
  <c r="C540" i="1"/>
  <c r="D540" i="1"/>
  <c r="E540" i="1"/>
  <c r="F540" i="1"/>
  <c r="G540" i="1"/>
  <c r="H540" i="1"/>
  <c r="I540" i="1"/>
  <c r="J540" i="1"/>
  <c r="K540" i="1"/>
  <c r="L540" i="1"/>
  <c r="M540" i="1"/>
  <c r="N540" i="1"/>
  <c r="O540" i="1"/>
  <c r="S540" i="1"/>
  <c r="T540" i="1"/>
  <c r="U540" i="1"/>
  <c r="W540" i="1"/>
  <c r="Y540" i="1"/>
  <c r="Z540" i="1"/>
  <c r="AA540" i="1"/>
  <c r="AC540" i="1"/>
  <c r="AE540" i="1"/>
  <c r="AF540" i="1"/>
  <c r="AG540" i="1"/>
  <c r="AK540" i="1"/>
  <c r="AS540" i="1"/>
  <c r="AT540" i="1"/>
  <c r="B541" i="1"/>
  <c r="C541" i="1"/>
  <c r="D541" i="1"/>
  <c r="E541" i="1"/>
  <c r="F541" i="1"/>
  <c r="G541" i="1"/>
  <c r="H541" i="1"/>
  <c r="I541" i="1"/>
  <c r="J541" i="1"/>
  <c r="K541" i="1"/>
  <c r="L541" i="1"/>
  <c r="M541" i="1"/>
  <c r="N541" i="1"/>
  <c r="O541" i="1"/>
  <c r="S541" i="1"/>
  <c r="T541" i="1"/>
  <c r="U541" i="1"/>
  <c r="W541" i="1"/>
  <c r="Y541" i="1"/>
  <c r="Z541" i="1"/>
  <c r="AA541" i="1"/>
  <c r="AC541" i="1"/>
  <c r="AE541" i="1"/>
  <c r="AF541" i="1"/>
  <c r="AG541" i="1"/>
  <c r="AK541" i="1"/>
  <c r="AS541" i="1"/>
  <c r="AT541" i="1"/>
  <c r="B542" i="1"/>
  <c r="C542" i="1"/>
  <c r="D542" i="1"/>
  <c r="E542" i="1"/>
  <c r="F542" i="1"/>
  <c r="G542" i="1"/>
  <c r="H542" i="1"/>
  <c r="I542" i="1"/>
  <c r="J542" i="1"/>
  <c r="K542" i="1"/>
  <c r="L542" i="1"/>
  <c r="M542" i="1"/>
  <c r="N542" i="1"/>
  <c r="O542" i="1"/>
  <c r="S542" i="1"/>
  <c r="T542" i="1"/>
  <c r="U542" i="1"/>
  <c r="W542" i="1"/>
  <c r="Y542" i="1"/>
  <c r="Z542" i="1"/>
  <c r="AA542" i="1"/>
  <c r="AC542" i="1"/>
  <c r="AE542" i="1"/>
  <c r="AF542" i="1"/>
  <c r="AG542" i="1"/>
  <c r="AK542" i="1"/>
  <c r="AS542" i="1"/>
  <c r="AT542" i="1"/>
  <c r="B543" i="1"/>
  <c r="C543" i="1"/>
  <c r="D543" i="1"/>
  <c r="E543" i="1"/>
  <c r="F543" i="1"/>
  <c r="H543" i="1"/>
  <c r="I543" i="1"/>
  <c r="J543" i="1"/>
  <c r="K543" i="1"/>
  <c r="L543" i="1"/>
  <c r="M543" i="1"/>
  <c r="O543" i="1"/>
  <c r="W543" i="1"/>
  <c r="Y543" i="1"/>
  <c r="Z543" i="1"/>
  <c r="AA543" i="1"/>
  <c r="AC543" i="1"/>
  <c r="AE543" i="1"/>
  <c r="AF543" i="1"/>
  <c r="AG543" i="1"/>
  <c r="AK543" i="1"/>
  <c r="AS543" i="1"/>
  <c r="AT543" i="1"/>
  <c r="B544" i="1"/>
  <c r="C544" i="1"/>
  <c r="D544" i="1"/>
  <c r="E544" i="1"/>
  <c r="F544" i="1"/>
  <c r="G544" i="1"/>
  <c r="H544" i="1"/>
  <c r="I544" i="1"/>
  <c r="J544" i="1"/>
  <c r="K544" i="1"/>
  <c r="L544" i="1"/>
  <c r="M544" i="1"/>
  <c r="N544" i="1"/>
  <c r="O544" i="1"/>
  <c r="S544" i="1"/>
  <c r="T544" i="1"/>
  <c r="U544" i="1"/>
  <c r="W544" i="1"/>
  <c r="Y544" i="1"/>
  <c r="Z544" i="1"/>
  <c r="AA544" i="1"/>
  <c r="AC544" i="1"/>
  <c r="AE544" i="1"/>
  <c r="AF544" i="1"/>
  <c r="AG544" i="1"/>
  <c r="AK544" i="1"/>
  <c r="AS544" i="1"/>
  <c r="AT544" i="1"/>
  <c r="B545" i="1"/>
  <c r="C545" i="1"/>
  <c r="D545" i="1"/>
  <c r="E545" i="1"/>
  <c r="F545" i="1"/>
  <c r="H545" i="1"/>
  <c r="I545" i="1"/>
  <c r="J545" i="1"/>
  <c r="K545" i="1"/>
  <c r="L545" i="1"/>
  <c r="M545" i="1"/>
  <c r="N545" i="1"/>
  <c r="O545" i="1"/>
  <c r="W545" i="1"/>
  <c r="Y545" i="1"/>
  <c r="Z545" i="1"/>
  <c r="AA545" i="1"/>
  <c r="AC545" i="1"/>
  <c r="AE545" i="1"/>
  <c r="AF545" i="1"/>
  <c r="AG545" i="1"/>
  <c r="AK545" i="1"/>
  <c r="AS545" i="1"/>
  <c r="AT545" i="1"/>
  <c r="B546" i="1"/>
  <c r="C546" i="1"/>
  <c r="D546" i="1"/>
  <c r="E546" i="1"/>
  <c r="H546" i="1"/>
  <c r="I546" i="1"/>
  <c r="J546" i="1"/>
  <c r="K546" i="1"/>
  <c r="L546" i="1"/>
  <c r="M546" i="1"/>
  <c r="N546" i="1"/>
  <c r="O546" i="1"/>
  <c r="S546" i="1"/>
  <c r="T546" i="1"/>
  <c r="U546" i="1"/>
  <c r="W546" i="1"/>
  <c r="Y546" i="1"/>
  <c r="Z546" i="1"/>
  <c r="AA546" i="1"/>
  <c r="AC546" i="1"/>
  <c r="AE546" i="1"/>
  <c r="AF546" i="1"/>
  <c r="AG546" i="1"/>
  <c r="AK546" i="1"/>
  <c r="AS546" i="1"/>
  <c r="AT546" i="1"/>
  <c r="B547" i="1"/>
  <c r="C547" i="1"/>
  <c r="D547" i="1"/>
  <c r="E547" i="1"/>
  <c r="F547" i="1"/>
  <c r="H547" i="1"/>
  <c r="I547" i="1"/>
  <c r="J547" i="1"/>
  <c r="K547" i="1"/>
  <c r="L547" i="1"/>
  <c r="M547" i="1"/>
  <c r="N547" i="1"/>
  <c r="O547" i="1"/>
  <c r="W547" i="1"/>
  <c r="Y547" i="1"/>
  <c r="Z547" i="1"/>
  <c r="AA547" i="1"/>
  <c r="AC547" i="1"/>
  <c r="AE547" i="1"/>
  <c r="AF547" i="1"/>
  <c r="AG547" i="1"/>
  <c r="AK547" i="1"/>
  <c r="AS547" i="1"/>
  <c r="AT547" i="1"/>
  <c r="B548" i="1"/>
  <c r="C548" i="1"/>
  <c r="D548" i="1"/>
  <c r="E548" i="1"/>
  <c r="F548" i="1"/>
  <c r="G548" i="1"/>
  <c r="H548" i="1"/>
  <c r="I548" i="1"/>
  <c r="J548" i="1"/>
  <c r="K548" i="1"/>
  <c r="L548" i="1"/>
  <c r="M548" i="1"/>
  <c r="N548" i="1"/>
  <c r="O548" i="1"/>
  <c r="W548" i="1"/>
  <c r="Y548" i="1"/>
  <c r="Z548" i="1"/>
  <c r="AA548" i="1"/>
  <c r="AC548" i="1"/>
  <c r="AE548" i="1"/>
  <c r="AF548" i="1"/>
  <c r="AG548" i="1"/>
  <c r="AK548" i="1"/>
  <c r="AS548" i="1"/>
  <c r="AT548" i="1"/>
  <c r="B549" i="1"/>
  <c r="C549" i="1"/>
  <c r="D549" i="1"/>
  <c r="E549" i="1"/>
  <c r="F549" i="1"/>
  <c r="G549" i="1"/>
  <c r="H549" i="1"/>
  <c r="I549" i="1"/>
  <c r="J549" i="1"/>
  <c r="K549" i="1"/>
  <c r="L549" i="1"/>
  <c r="M549" i="1"/>
  <c r="N549" i="1"/>
  <c r="O549" i="1"/>
  <c r="W549" i="1"/>
  <c r="Y549" i="1"/>
  <c r="Z549" i="1"/>
  <c r="AA549" i="1"/>
  <c r="AC549" i="1"/>
  <c r="AE549" i="1"/>
  <c r="AF549" i="1"/>
  <c r="AG549" i="1"/>
  <c r="AK549" i="1"/>
  <c r="AS549" i="1"/>
  <c r="AT549" i="1"/>
  <c r="B550" i="1"/>
  <c r="C550" i="1"/>
  <c r="D550" i="1"/>
  <c r="E550" i="1"/>
  <c r="F550" i="1"/>
  <c r="H550" i="1"/>
  <c r="I550" i="1"/>
  <c r="J550" i="1"/>
  <c r="K550" i="1"/>
  <c r="L550" i="1"/>
  <c r="M550" i="1"/>
  <c r="N550" i="1"/>
  <c r="O550" i="1"/>
  <c r="W550" i="1"/>
  <c r="Y550" i="1"/>
  <c r="Z550" i="1"/>
  <c r="AA550" i="1"/>
  <c r="AC550" i="1"/>
  <c r="AE550" i="1"/>
  <c r="AF550" i="1"/>
  <c r="AG550" i="1"/>
  <c r="AK550" i="1"/>
  <c r="AS550" i="1"/>
  <c r="AT550" i="1"/>
  <c r="B551" i="1"/>
  <c r="C551" i="1"/>
  <c r="D551" i="1"/>
  <c r="E551" i="1"/>
  <c r="F551" i="1"/>
  <c r="H551" i="1"/>
  <c r="I551" i="1"/>
  <c r="J551" i="1"/>
  <c r="K551" i="1"/>
  <c r="L551" i="1"/>
  <c r="M551" i="1"/>
  <c r="N551" i="1"/>
  <c r="O551" i="1"/>
  <c r="W551" i="1"/>
  <c r="Y551" i="1"/>
  <c r="Z551" i="1"/>
  <c r="AA551" i="1"/>
  <c r="AC551" i="1"/>
  <c r="AE551" i="1"/>
  <c r="AF551" i="1"/>
  <c r="AG551" i="1"/>
  <c r="AK551" i="1"/>
  <c r="AS551" i="1"/>
  <c r="AT551" i="1"/>
  <c r="B552" i="1"/>
  <c r="C552" i="1"/>
  <c r="D552" i="1"/>
  <c r="E552" i="1"/>
  <c r="F552" i="1"/>
  <c r="G552" i="1"/>
  <c r="H552" i="1"/>
  <c r="I552" i="1"/>
  <c r="J552" i="1"/>
  <c r="K552" i="1"/>
  <c r="L552" i="1"/>
  <c r="M552" i="1"/>
  <c r="N552" i="1"/>
  <c r="O552" i="1"/>
  <c r="S552" i="1"/>
  <c r="T552" i="1"/>
  <c r="U552" i="1"/>
  <c r="V552" i="1"/>
  <c r="W552" i="1"/>
  <c r="Y552" i="1"/>
  <c r="Z552" i="1"/>
  <c r="AA552" i="1"/>
  <c r="AC552" i="1"/>
  <c r="AE552" i="1"/>
  <c r="AF552" i="1"/>
  <c r="AG552" i="1"/>
  <c r="AK552" i="1"/>
  <c r="AS552" i="1"/>
  <c r="AT552" i="1"/>
  <c r="B553" i="1"/>
  <c r="C553" i="1"/>
  <c r="D553" i="1"/>
  <c r="E553" i="1"/>
  <c r="F553" i="1"/>
  <c r="H553" i="1"/>
  <c r="I553" i="1"/>
  <c r="J553" i="1"/>
  <c r="K553" i="1"/>
  <c r="L553" i="1"/>
  <c r="M553" i="1"/>
  <c r="N553" i="1"/>
  <c r="O553" i="1"/>
  <c r="W553" i="1"/>
  <c r="Y553" i="1"/>
  <c r="Z553" i="1"/>
  <c r="AA553" i="1"/>
  <c r="AC553" i="1"/>
  <c r="AE553" i="1"/>
  <c r="AF553" i="1"/>
  <c r="AG553" i="1"/>
  <c r="AK553" i="1"/>
  <c r="AS553" i="1"/>
  <c r="AT553" i="1"/>
  <c r="B554" i="1"/>
  <c r="C554" i="1"/>
  <c r="D554" i="1"/>
  <c r="E554" i="1"/>
  <c r="F554" i="1"/>
  <c r="H554" i="1"/>
  <c r="I554" i="1"/>
  <c r="J554" i="1"/>
  <c r="K554" i="1"/>
  <c r="L554" i="1"/>
  <c r="M554" i="1"/>
  <c r="N554" i="1"/>
  <c r="O554" i="1"/>
  <c r="S554" i="1"/>
  <c r="T554" i="1"/>
  <c r="U554" i="1"/>
  <c r="W554" i="1"/>
  <c r="Y554" i="1"/>
  <c r="Z554" i="1"/>
  <c r="AA554" i="1"/>
  <c r="AC554" i="1"/>
  <c r="AE554" i="1"/>
  <c r="AF554" i="1"/>
  <c r="AG554" i="1"/>
  <c r="AK554" i="1"/>
  <c r="AS554" i="1"/>
  <c r="AT554" i="1"/>
  <c r="B555" i="1"/>
  <c r="C555" i="1"/>
  <c r="D555" i="1"/>
  <c r="E555" i="1"/>
  <c r="F555" i="1"/>
  <c r="G555" i="1"/>
  <c r="H555" i="1"/>
  <c r="I555" i="1"/>
  <c r="J555" i="1"/>
  <c r="K555" i="1"/>
  <c r="L555" i="1"/>
  <c r="M555" i="1"/>
  <c r="N555" i="1"/>
  <c r="O555" i="1"/>
  <c r="S555" i="1"/>
  <c r="T555" i="1"/>
  <c r="U555" i="1"/>
  <c r="W555" i="1"/>
  <c r="Y555" i="1"/>
  <c r="Z555" i="1"/>
  <c r="AA555" i="1"/>
  <c r="AC555" i="1"/>
  <c r="AE555" i="1"/>
  <c r="AF555" i="1"/>
  <c r="AG555" i="1"/>
  <c r="AK555" i="1"/>
  <c r="AS555" i="1"/>
  <c r="AT555" i="1"/>
  <c r="B556" i="1"/>
  <c r="C556" i="1"/>
  <c r="D556" i="1"/>
  <c r="E556" i="1"/>
  <c r="F556" i="1"/>
  <c r="H556" i="1"/>
  <c r="I556" i="1"/>
  <c r="J556" i="1"/>
  <c r="K556" i="1"/>
  <c r="L556" i="1"/>
  <c r="M556" i="1"/>
  <c r="N556" i="1"/>
  <c r="O556" i="1"/>
  <c r="W556" i="1"/>
  <c r="Y556" i="1"/>
  <c r="Z556" i="1"/>
  <c r="AA556" i="1"/>
  <c r="AC556" i="1"/>
  <c r="AE556" i="1"/>
  <c r="AF556" i="1"/>
  <c r="AG556" i="1"/>
  <c r="AK556" i="1"/>
  <c r="AS556" i="1"/>
  <c r="AT556" i="1"/>
  <c r="B557" i="1"/>
  <c r="C557" i="1"/>
  <c r="D557" i="1"/>
  <c r="E557" i="1"/>
  <c r="F557" i="1"/>
  <c r="G557" i="1"/>
  <c r="H557" i="1"/>
  <c r="I557" i="1"/>
  <c r="J557" i="1"/>
  <c r="K557" i="1"/>
  <c r="L557" i="1"/>
  <c r="M557" i="1"/>
  <c r="N557" i="1"/>
  <c r="O557" i="1"/>
  <c r="W557" i="1"/>
  <c r="Y557" i="1"/>
  <c r="Z557" i="1"/>
  <c r="AA557" i="1"/>
  <c r="AC557" i="1"/>
  <c r="AE557" i="1"/>
  <c r="AF557" i="1"/>
  <c r="AG557" i="1"/>
  <c r="AK557" i="1"/>
  <c r="AS557" i="1"/>
  <c r="AT557" i="1"/>
  <c r="B558" i="1"/>
  <c r="C558" i="1"/>
  <c r="D558" i="1"/>
  <c r="E558" i="1"/>
  <c r="F558" i="1"/>
  <c r="G558" i="1"/>
  <c r="H558" i="1"/>
  <c r="I558" i="1"/>
  <c r="J558" i="1"/>
  <c r="K558" i="1"/>
  <c r="L558" i="1"/>
  <c r="M558" i="1"/>
  <c r="N558" i="1"/>
  <c r="O558" i="1"/>
  <c r="S558" i="1"/>
  <c r="T558" i="1"/>
  <c r="U558" i="1"/>
  <c r="W558" i="1"/>
  <c r="Y558" i="1"/>
  <c r="Z558" i="1"/>
  <c r="AA558" i="1"/>
  <c r="AC558" i="1"/>
  <c r="AE558" i="1"/>
  <c r="AF558" i="1"/>
  <c r="AG558" i="1"/>
  <c r="AK558" i="1"/>
  <c r="AS558" i="1"/>
  <c r="AT558" i="1"/>
  <c r="B559" i="1"/>
  <c r="C559" i="1"/>
  <c r="D559" i="1"/>
  <c r="E559" i="1"/>
  <c r="F559" i="1"/>
  <c r="G559" i="1"/>
  <c r="H559" i="1"/>
  <c r="I559" i="1"/>
  <c r="J559" i="1"/>
  <c r="K559" i="1"/>
  <c r="L559" i="1"/>
  <c r="M559" i="1"/>
  <c r="N559" i="1"/>
  <c r="O559" i="1"/>
  <c r="S559" i="1"/>
  <c r="T559" i="1"/>
  <c r="U559" i="1"/>
  <c r="W559" i="1"/>
  <c r="Y559" i="1"/>
  <c r="Z559" i="1"/>
  <c r="AA559" i="1"/>
  <c r="AC559" i="1"/>
  <c r="AE559" i="1"/>
  <c r="AF559" i="1"/>
  <c r="AG559" i="1"/>
  <c r="AK559" i="1"/>
  <c r="AS559" i="1"/>
  <c r="AT559" i="1"/>
  <c r="B560" i="1"/>
  <c r="C560" i="1"/>
  <c r="D560" i="1"/>
  <c r="E560" i="1"/>
  <c r="F560" i="1"/>
  <c r="H560" i="1"/>
  <c r="I560" i="1"/>
  <c r="J560" i="1"/>
  <c r="K560" i="1"/>
  <c r="L560" i="1"/>
  <c r="M560" i="1"/>
  <c r="N560" i="1"/>
  <c r="O560" i="1"/>
  <c r="W560" i="1"/>
  <c r="Y560" i="1"/>
  <c r="Z560" i="1"/>
  <c r="AA560" i="1"/>
  <c r="AC560" i="1"/>
  <c r="AE560" i="1"/>
  <c r="AF560" i="1"/>
  <c r="AG560" i="1"/>
  <c r="AK560" i="1"/>
  <c r="AS560" i="1"/>
  <c r="AT560" i="1"/>
  <c r="B561" i="1"/>
  <c r="C561" i="1"/>
  <c r="D561" i="1"/>
  <c r="E561" i="1"/>
  <c r="F561" i="1"/>
  <c r="H561" i="1"/>
  <c r="I561" i="1"/>
  <c r="J561" i="1"/>
  <c r="K561" i="1"/>
  <c r="L561" i="1"/>
  <c r="M561" i="1"/>
  <c r="N561" i="1"/>
  <c r="O561" i="1"/>
  <c r="W561" i="1"/>
  <c r="Y561" i="1"/>
  <c r="Z561" i="1"/>
  <c r="AA561" i="1"/>
  <c r="AC561" i="1"/>
  <c r="AE561" i="1"/>
  <c r="AF561" i="1"/>
  <c r="AG561" i="1"/>
  <c r="AK561" i="1"/>
  <c r="AS561" i="1"/>
  <c r="AT561" i="1"/>
  <c r="B562" i="1"/>
  <c r="C562" i="1"/>
  <c r="D562" i="1"/>
  <c r="E562" i="1"/>
  <c r="F562" i="1"/>
  <c r="H562" i="1"/>
  <c r="I562" i="1"/>
  <c r="J562" i="1"/>
  <c r="K562" i="1"/>
  <c r="L562" i="1"/>
  <c r="M562" i="1"/>
  <c r="N562" i="1"/>
  <c r="O562" i="1"/>
  <c r="W562" i="1"/>
  <c r="Y562" i="1"/>
  <c r="Z562" i="1"/>
  <c r="AA562" i="1"/>
  <c r="AC562" i="1"/>
  <c r="AE562" i="1"/>
  <c r="AF562" i="1"/>
  <c r="AG562" i="1"/>
  <c r="AK562" i="1"/>
  <c r="AS562" i="1"/>
  <c r="AT562" i="1"/>
  <c r="B563" i="1"/>
  <c r="C563" i="1"/>
  <c r="D563" i="1"/>
  <c r="E563" i="1"/>
  <c r="F563" i="1"/>
  <c r="H563" i="1"/>
  <c r="I563" i="1"/>
  <c r="J563" i="1"/>
  <c r="K563" i="1"/>
  <c r="L563" i="1"/>
  <c r="M563" i="1"/>
  <c r="N563" i="1"/>
  <c r="O563" i="1"/>
  <c r="S563" i="1"/>
  <c r="U563" i="1"/>
  <c r="W563" i="1"/>
  <c r="Y563" i="1"/>
  <c r="Z563" i="1"/>
  <c r="AA563" i="1"/>
  <c r="AC563" i="1"/>
  <c r="AE563" i="1"/>
  <c r="AF563" i="1"/>
  <c r="AG563" i="1"/>
  <c r="AK563" i="1"/>
  <c r="AS563" i="1"/>
  <c r="AT563" i="1"/>
  <c r="B564" i="1"/>
  <c r="C564" i="1"/>
  <c r="D564" i="1"/>
  <c r="E564" i="1"/>
  <c r="F564" i="1"/>
  <c r="H564" i="1"/>
  <c r="I564" i="1"/>
  <c r="J564" i="1"/>
  <c r="K564" i="1"/>
  <c r="L564" i="1"/>
  <c r="M564" i="1"/>
  <c r="N564" i="1"/>
  <c r="O564" i="1"/>
  <c r="W564" i="1"/>
  <c r="Y564" i="1"/>
  <c r="Z564" i="1"/>
  <c r="AA564" i="1"/>
  <c r="AC564" i="1"/>
  <c r="AE564" i="1"/>
  <c r="AF564" i="1"/>
  <c r="AG564" i="1"/>
  <c r="AK564" i="1"/>
  <c r="AS564" i="1"/>
  <c r="AT564" i="1"/>
  <c r="B565" i="1"/>
  <c r="C565" i="1"/>
  <c r="D565" i="1"/>
  <c r="E565" i="1"/>
  <c r="F565" i="1"/>
  <c r="H565" i="1"/>
  <c r="I565" i="1"/>
  <c r="J565" i="1"/>
  <c r="K565" i="1"/>
  <c r="L565" i="1"/>
  <c r="M565" i="1"/>
  <c r="N565" i="1"/>
  <c r="O565" i="1"/>
  <c r="W565" i="1"/>
  <c r="Y565" i="1"/>
  <c r="Z565" i="1"/>
  <c r="AA565" i="1"/>
  <c r="AC565" i="1"/>
  <c r="AE565" i="1"/>
  <c r="AF565" i="1"/>
  <c r="AG565" i="1"/>
  <c r="AK565" i="1"/>
  <c r="AS565" i="1"/>
  <c r="AT565" i="1"/>
  <c r="B566" i="1"/>
  <c r="C566" i="1"/>
  <c r="D566" i="1"/>
  <c r="E566" i="1"/>
  <c r="F566" i="1"/>
  <c r="G566" i="1"/>
  <c r="H566" i="1"/>
  <c r="I566" i="1"/>
  <c r="J566" i="1"/>
  <c r="K566" i="1"/>
  <c r="L566" i="1"/>
  <c r="M566" i="1"/>
  <c r="N566" i="1"/>
  <c r="O566" i="1"/>
  <c r="Q566" i="1"/>
  <c r="W566" i="1"/>
  <c r="Y566" i="1"/>
  <c r="Z566" i="1"/>
  <c r="AA566" i="1"/>
  <c r="AC566" i="1"/>
  <c r="AE566" i="1"/>
  <c r="AF566" i="1"/>
  <c r="AG566" i="1"/>
  <c r="AK566" i="1"/>
  <c r="AS566" i="1"/>
  <c r="AT566" i="1"/>
  <c r="B567" i="1"/>
  <c r="C567" i="1"/>
  <c r="D567" i="1"/>
  <c r="E567" i="1"/>
  <c r="F567" i="1"/>
  <c r="H567" i="1"/>
  <c r="I567" i="1"/>
  <c r="J567" i="1"/>
  <c r="K567" i="1"/>
  <c r="L567" i="1"/>
  <c r="M567" i="1"/>
  <c r="N567" i="1"/>
  <c r="O567" i="1"/>
  <c r="W567" i="1"/>
  <c r="Y567" i="1"/>
  <c r="Z567" i="1"/>
  <c r="AA567" i="1"/>
  <c r="AC567" i="1"/>
  <c r="AE567" i="1"/>
  <c r="AF567" i="1"/>
  <c r="AG567" i="1"/>
  <c r="AK567" i="1"/>
  <c r="AS567" i="1"/>
  <c r="AT567" i="1"/>
  <c r="B568" i="1"/>
  <c r="C568" i="1"/>
  <c r="D568" i="1"/>
  <c r="E568" i="1"/>
  <c r="F568" i="1"/>
  <c r="H568" i="1"/>
  <c r="I568" i="1"/>
  <c r="J568" i="1"/>
  <c r="K568" i="1"/>
  <c r="L568" i="1"/>
  <c r="M568" i="1"/>
  <c r="N568" i="1"/>
  <c r="O568" i="1"/>
  <c r="W568" i="1"/>
  <c r="Y568" i="1"/>
  <c r="Z568" i="1"/>
  <c r="AA568" i="1"/>
  <c r="AC568" i="1"/>
  <c r="AE568" i="1"/>
  <c r="AF568" i="1"/>
  <c r="AG568" i="1"/>
  <c r="AK568" i="1"/>
  <c r="AS568" i="1"/>
  <c r="AT568" i="1"/>
  <c r="B569" i="1"/>
  <c r="C569" i="1"/>
  <c r="D569" i="1"/>
  <c r="E569" i="1"/>
  <c r="F569" i="1"/>
  <c r="H569" i="1"/>
  <c r="I569" i="1"/>
  <c r="J569" i="1"/>
  <c r="K569" i="1"/>
  <c r="L569" i="1"/>
  <c r="M569" i="1"/>
  <c r="N569" i="1"/>
  <c r="O569" i="1"/>
  <c r="W569" i="1"/>
  <c r="Y569" i="1"/>
  <c r="Z569" i="1"/>
  <c r="AA569" i="1"/>
  <c r="AC569" i="1"/>
  <c r="AE569" i="1"/>
  <c r="AF569" i="1"/>
  <c r="AG569" i="1"/>
  <c r="AK569" i="1"/>
  <c r="AS569" i="1"/>
  <c r="AT569" i="1"/>
  <c r="B570" i="1"/>
  <c r="C570" i="1"/>
  <c r="D570" i="1"/>
  <c r="E570" i="1"/>
  <c r="F570" i="1"/>
  <c r="G570" i="1"/>
  <c r="H570" i="1"/>
  <c r="I570" i="1"/>
  <c r="J570" i="1"/>
  <c r="K570" i="1"/>
  <c r="L570" i="1"/>
  <c r="M570" i="1"/>
  <c r="N570" i="1"/>
  <c r="O570" i="1"/>
  <c r="W570" i="1"/>
  <c r="Y570" i="1"/>
  <c r="Z570" i="1"/>
  <c r="AA570" i="1"/>
  <c r="AC570" i="1"/>
  <c r="AE570" i="1"/>
  <c r="AF570" i="1"/>
  <c r="AG570" i="1"/>
  <c r="AK570" i="1"/>
  <c r="AS570" i="1"/>
  <c r="AT570" i="1"/>
  <c r="B571" i="1"/>
  <c r="C571" i="1"/>
  <c r="D571" i="1"/>
  <c r="E571" i="1"/>
  <c r="F571" i="1"/>
  <c r="H571" i="1"/>
  <c r="I571" i="1"/>
  <c r="J571" i="1"/>
  <c r="K571" i="1"/>
  <c r="L571" i="1"/>
  <c r="M571" i="1"/>
  <c r="N571" i="1"/>
  <c r="O571" i="1"/>
  <c r="W571" i="1"/>
  <c r="Y571" i="1"/>
  <c r="Z571" i="1"/>
  <c r="AA571" i="1"/>
  <c r="AC571" i="1"/>
  <c r="AE571" i="1"/>
  <c r="AF571" i="1"/>
  <c r="AG571" i="1"/>
  <c r="AK571" i="1"/>
  <c r="AS571" i="1"/>
  <c r="AT571" i="1"/>
  <c r="B572" i="1"/>
  <c r="C572" i="1"/>
  <c r="D572" i="1"/>
  <c r="E572" i="1"/>
  <c r="F572" i="1"/>
  <c r="H572" i="1"/>
  <c r="I572" i="1"/>
  <c r="J572" i="1"/>
  <c r="K572" i="1"/>
  <c r="L572" i="1"/>
  <c r="M572" i="1"/>
  <c r="N572" i="1"/>
  <c r="O572" i="1"/>
  <c r="W572" i="1"/>
  <c r="Y572" i="1"/>
  <c r="Z572" i="1"/>
  <c r="AA572" i="1"/>
  <c r="AC572" i="1"/>
  <c r="AE572" i="1"/>
  <c r="AF572" i="1"/>
  <c r="AG572" i="1"/>
  <c r="AK572" i="1"/>
  <c r="AS572" i="1"/>
  <c r="AT572" i="1"/>
  <c r="B573" i="1"/>
  <c r="C573" i="1"/>
  <c r="D573" i="1"/>
  <c r="E573" i="1"/>
  <c r="F573" i="1"/>
  <c r="H573" i="1"/>
  <c r="I573" i="1"/>
  <c r="J573" i="1"/>
  <c r="K573" i="1"/>
  <c r="L573" i="1"/>
  <c r="M573" i="1"/>
  <c r="N573" i="1"/>
  <c r="O573" i="1"/>
  <c r="W573" i="1"/>
  <c r="Y573" i="1"/>
  <c r="Z573" i="1"/>
  <c r="AA573" i="1"/>
  <c r="AC573" i="1"/>
  <c r="AE573" i="1"/>
  <c r="AF573" i="1"/>
  <c r="AG573" i="1"/>
  <c r="AK573" i="1"/>
  <c r="AS573" i="1"/>
  <c r="AT573" i="1"/>
  <c r="B574" i="1"/>
  <c r="C574" i="1"/>
  <c r="D574" i="1"/>
  <c r="E574" i="1"/>
  <c r="F574" i="1"/>
  <c r="H574" i="1"/>
  <c r="I574" i="1"/>
  <c r="J574" i="1"/>
  <c r="K574" i="1"/>
  <c r="L574" i="1"/>
  <c r="M574" i="1"/>
  <c r="N574" i="1"/>
  <c r="O574" i="1"/>
  <c r="W574" i="1"/>
  <c r="Y574" i="1"/>
  <c r="Z574" i="1"/>
  <c r="AA574" i="1"/>
  <c r="AC574" i="1"/>
  <c r="AE574" i="1"/>
  <c r="AF574" i="1"/>
  <c r="AG574" i="1"/>
  <c r="AK574" i="1"/>
  <c r="AS574" i="1"/>
  <c r="AT574" i="1"/>
  <c r="B575" i="1"/>
  <c r="C575" i="1"/>
  <c r="D575" i="1"/>
  <c r="E575" i="1"/>
  <c r="F575" i="1"/>
  <c r="H575" i="1"/>
  <c r="I575" i="1"/>
  <c r="J575" i="1"/>
  <c r="K575" i="1"/>
  <c r="L575" i="1"/>
  <c r="M575" i="1"/>
  <c r="N575" i="1"/>
  <c r="O575" i="1"/>
  <c r="W575" i="1"/>
  <c r="Y575" i="1"/>
  <c r="Z575" i="1"/>
  <c r="AA575" i="1"/>
  <c r="AC575" i="1"/>
  <c r="AE575" i="1"/>
  <c r="AF575" i="1"/>
  <c r="AG575" i="1"/>
  <c r="AK575" i="1"/>
  <c r="AS575" i="1"/>
  <c r="AT575" i="1"/>
  <c r="B576" i="1"/>
  <c r="C576" i="1"/>
  <c r="D576" i="1"/>
  <c r="E576" i="1"/>
  <c r="F576" i="1"/>
  <c r="H576" i="1"/>
  <c r="I576" i="1"/>
  <c r="J576" i="1"/>
  <c r="K576" i="1"/>
  <c r="L576" i="1"/>
  <c r="M576" i="1"/>
  <c r="N576" i="1"/>
  <c r="O576" i="1"/>
  <c r="W576" i="1"/>
  <c r="Y576" i="1"/>
  <c r="Z576" i="1"/>
  <c r="AA576" i="1"/>
  <c r="AC576" i="1"/>
  <c r="AE576" i="1"/>
  <c r="AF576" i="1"/>
  <c r="AG576" i="1"/>
  <c r="AK576" i="1"/>
  <c r="AS576" i="1"/>
  <c r="AT576" i="1"/>
  <c r="B577" i="1"/>
  <c r="C577" i="1"/>
  <c r="D577" i="1"/>
  <c r="E577" i="1"/>
  <c r="F577" i="1"/>
  <c r="H577" i="1"/>
  <c r="I577" i="1"/>
  <c r="J577" i="1"/>
  <c r="K577" i="1"/>
  <c r="L577" i="1"/>
  <c r="M577" i="1"/>
  <c r="N577" i="1"/>
  <c r="O577" i="1"/>
  <c r="W577" i="1"/>
  <c r="Y577" i="1"/>
  <c r="Z577" i="1"/>
  <c r="AA577" i="1"/>
  <c r="AC577" i="1"/>
  <c r="AE577" i="1"/>
  <c r="AF577" i="1"/>
  <c r="AG577" i="1"/>
  <c r="AK577" i="1"/>
  <c r="AS577" i="1"/>
  <c r="AT577" i="1"/>
  <c r="B578" i="1"/>
  <c r="C578" i="1"/>
  <c r="D578" i="1"/>
  <c r="E578" i="1"/>
  <c r="F578" i="1"/>
  <c r="H578" i="1"/>
  <c r="I578" i="1"/>
  <c r="J578" i="1"/>
  <c r="K578" i="1"/>
  <c r="L578" i="1"/>
  <c r="M578" i="1"/>
  <c r="N578" i="1"/>
  <c r="O578" i="1"/>
  <c r="W578" i="1"/>
  <c r="Y578" i="1"/>
  <c r="Z578" i="1"/>
  <c r="AA578" i="1"/>
  <c r="AC578" i="1"/>
  <c r="AE578" i="1"/>
  <c r="AF578" i="1"/>
  <c r="AG578" i="1"/>
  <c r="AK578" i="1"/>
  <c r="AS578" i="1"/>
  <c r="AT578" i="1"/>
  <c r="B579" i="1"/>
  <c r="C579" i="1"/>
  <c r="D579" i="1"/>
  <c r="E579" i="1"/>
  <c r="F579" i="1"/>
  <c r="H579" i="1"/>
  <c r="I579" i="1"/>
  <c r="J579" i="1"/>
  <c r="K579" i="1"/>
  <c r="L579" i="1"/>
  <c r="M579" i="1"/>
  <c r="N579" i="1"/>
  <c r="O579" i="1"/>
  <c r="W579" i="1"/>
  <c r="Y579" i="1"/>
  <c r="Z579" i="1"/>
  <c r="AA579" i="1"/>
  <c r="AC579" i="1"/>
  <c r="AE579" i="1"/>
  <c r="AF579" i="1"/>
  <c r="AG579" i="1"/>
  <c r="AK579" i="1"/>
  <c r="AS579" i="1"/>
  <c r="AT579" i="1"/>
  <c r="B580" i="1"/>
  <c r="C580" i="1"/>
  <c r="D580" i="1"/>
  <c r="E580" i="1"/>
  <c r="F580" i="1"/>
  <c r="H580" i="1"/>
  <c r="I580" i="1"/>
  <c r="J580" i="1"/>
  <c r="K580" i="1"/>
  <c r="L580" i="1"/>
  <c r="M580" i="1"/>
  <c r="N580" i="1"/>
  <c r="O580" i="1"/>
  <c r="S580" i="1"/>
  <c r="T580" i="1"/>
  <c r="U580" i="1"/>
  <c r="W580" i="1"/>
  <c r="Y580" i="1"/>
  <c r="Z580" i="1"/>
  <c r="AA580" i="1"/>
  <c r="AC580" i="1"/>
  <c r="AE580" i="1"/>
  <c r="AF580" i="1"/>
  <c r="AG580" i="1"/>
  <c r="AK580" i="1"/>
  <c r="AS580" i="1"/>
  <c r="AT580" i="1"/>
  <c r="B581" i="1"/>
  <c r="C581" i="1"/>
  <c r="D581" i="1"/>
  <c r="E581" i="1"/>
  <c r="F581" i="1"/>
  <c r="G581" i="1"/>
  <c r="H581" i="1"/>
  <c r="I581" i="1"/>
  <c r="J581" i="1"/>
  <c r="K581" i="1"/>
  <c r="L581" i="1"/>
  <c r="M581" i="1"/>
  <c r="N581" i="1"/>
  <c r="O581" i="1"/>
  <c r="W581" i="1"/>
  <c r="Y581" i="1"/>
  <c r="Z581" i="1"/>
  <c r="AA581" i="1"/>
  <c r="AC581" i="1"/>
  <c r="AE581" i="1"/>
  <c r="AF581" i="1"/>
  <c r="AG581" i="1"/>
  <c r="AK581" i="1"/>
  <c r="AS581" i="1"/>
  <c r="AT581" i="1"/>
  <c r="B582" i="1"/>
  <c r="C582" i="1"/>
  <c r="D582" i="1"/>
  <c r="E582" i="1"/>
  <c r="F582" i="1"/>
  <c r="H582" i="1"/>
  <c r="I582" i="1"/>
  <c r="J582" i="1"/>
  <c r="K582" i="1"/>
  <c r="L582" i="1"/>
  <c r="M582" i="1"/>
  <c r="N582" i="1"/>
  <c r="O582" i="1"/>
  <c r="W582" i="1"/>
  <c r="Y582" i="1"/>
  <c r="Z582" i="1"/>
  <c r="AA582" i="1"/>
  <c r="AC582" i="1"/>
  <c r="AE582" i="1"/>
  <c r="AF582" i="1"/>
  <c r="AG582" i="1"/>
  <c r="AK582" i="1"/>
  <c r="AS582" i="1"/>
  <c r="AT582" i="1"/>
  <c r="B583" i="1"/>
  <c r="C583" i="1"/>
  <c r="D583" i="1"/>
  <c r="E583" i="1"/>
  <c r="F583" i="1"/>
  <c r="H583" i="1"/>
  <c r="I583" i="1"/>
  <c r="J583" i="1"/>
  <c r="K583" i="1"/>
  <c r="L583" i="1"/>
  <c r="M583" i="1"/>
  <c r="N583" i="1"/>
  <c r="O583" i="1"/>
  <c r="W583" i="1"/>
  <c r="Y583" i="1"/>
  <c r="Z583" i="1"/>
  <c r="AA583" i="1"/>
  <c r="AC583" i="1"/>
  <c r="AE583" i="1"/>
  <c r="AF583" i="1"/>
  <c r="AG583" i="1"/>
  <c r="AK583" i="1"/>
  <c r="AS583" i="1"/>
  <c r="AT583" i="1"/>
  <c r="B584" i="1"/>
  <c r="C584" i="1"/>
  <c r="D584" i="1"/>
  <c r="E584" i="1"/>
  <c r="F584" i="1"/>
  <c r="H584" i="1"/>
  <c r="I584" i="1"/>
  <c r="J584" i="1"/>
  <c r="K584" i="1"/>
  <c r="L584" i="1"/>
  <c r="M584" i="1"/>
  <c r="N584" i="1"/>
  <c r="O584" i="1"/>
  <c r="W584" i="1"/>
  <c r="Y584" i="1"/>
  <c r="Z584" i="1"/>
  <c r="AA584" i="1"/>
  <c r="AC584" i="1"/>
  <c r="AE584" i="1"/>
  <c r="AF584" i="1"/>
  <c r="AG584" i="1"/>
  <c r="AK584" i="1"/>
  <c r="AS584" i="1"/>
  <c r="AT584" i="1"/>
  <c r="B585" i="1"/>
  <c r="C585" i="1"/>
  <c r="D585" i="1"/>
  <c r="E585" i="1"/>
  <c r="F585" i="1"/>
  <c r="H585" i="1"/>
  <c r="I585" i="1"/>
  <c r="J585" i="1"/>
  <c r="K585" i="1"/>
  <c r="L585" i="1"/>
  <c r="M585" i="1"/>
  <c r="N585" i="1"/>
  <c r="O585" i="1"/>
  <c r="W585" i="1"/>
  <c r="Y585" i="1"/>
  <c r="Z585" i="1"/>
  <c r="AA585" i="1"/>
  <c r="AC585" i="1"/>
  <c r="AE585" i="1"/>
  <c r="AF585" i="1"/>
  <c r="AG585" i="1"/>
  <c r="AK585" i="1"/>
  <c r="AS585" i="1"/>
  <c r="AT585" i="1"/>
  <c r="B586" i="1"/>
  <c r="C586" i="1"/>
  <c r="D586" i="1"/>
  <c r="E586" i="1"/>
  <c r="F586" i="1"/>
  <c r="H586" i="1"/>
  <c r="I586" i="1"/>
  <c r="J586" i="1"/>
  <c r="K586" i="1"/>
  <c r="L586" i="1"/>
  <c r="M586" i="1"/>
  <c r="N586" i="1"/>
  <c r="O586" i="1"/>
  <c r="W586" i="1"/>
  <c r="Y586" i="1"/>
  <c r="Z586" i="1"/>
  <c r="AA586" i="1"/>
  <c r="AC586" i="1"/>
  <c r="AE586" i="1"/>
  <c r="AF586" i="1"/>
  <c r="AG586" i="1"/>
  <c r="AK586" i="1"/>
  <c r="AS586" i="1"/>
  <c r="AT586" i="1"/>
  <c r="B587" i="1"/>
  <c r="C587" i="1"/>
  <c r="D587" i="1"/>
  <c r="E587" i="1"/>
  <c r="F587" i="1"/>
  <c r="H587" i="1"/>
  <c r="I587" i="1"/>
  <c r="J587" i="1"/>
  <c r="K587" i="1"/>
  <c r="L587" i="1"/>
  <c r="M587" i="1"/>
  <c r="N587" i="1"/>
  <c r="O587" i="1"/>
  <c r="W587" i="1"/>
  <c r="Y587" i="1"/>
  <c r="Z587" i="1"/>
  <c r="AA587" i="1"/>
  <c r="AC587" i="1"/>
  <c r="AE587" i="1"/>
  <c r="AF587" i="1"/>
  <c r="AG587" i="1"/>
  <c r="AK587" i="1"/>
  <c r="AS587" i="1"/>
  <c r="AT587" i="1"/>
  <c r="B588" i="1"/>
  <c r="C588" i="1"/>
  <c r="D588" i="1"/>
  <c r="E588" i="1"/>
  <c r="F588" i="1"/>
  <c r="H588" i="1"/>
  <c r="I588" i="1"/>
  <c r="J588" i="1"/>
  <c r="K588" i="1"/>
  <c r="L588" i="1"/>
  <c r="M588" i="1"/>
  <c r="N588" i="1"/>
  <c r="O588" i="1"/>
  <c r="W588" i="1"/>
  <c r="Y588" i="1"/>
  <c r="Z588" i="1"/>
  <c r="AA588" i="1"/>
  <c r="AC588" i="1"/>
  <c r="AE588" i="1"/>
  <c r="AF588" i="1"/>
  <c r="AG588" i="1"/>
  <c r="AK588" i="1"/>
  <c r="AS588" i="1"/>
  <c r="AT588" i="1"/>
  <c r="B589" i="1"/>
  <c r="C589" i="1"/>
  <c r="D589" i="1"/>
  <c r="E589" i="1"/>
  <c r="F589" i="1"/>
  <c r="G589" i="1"/>
  <c r="H589" i="1"/>
  <c r="I589" i="1"/>
  <c r="J589" i="1"/>
  <c r="K589" i="1"/>
  <c r="L589" i="1"/>
  <c r="M589" i="1"/>
  <c r="N589" i="1"/>
  <c r="O589" i="1"/>
  <c r="W589" i="1"/>
  <c r="Y589" i="1"/>
  <c r="Z589" i="1"/>
  <c r="AA589" i="1"/>
  <c r="AC589" i="1"/>
  <c r="AE589" i="1"/>
  <c r="AF589" i="1"/>
  <c r="AG589" i="1"/>
  <c r="AK589" i="1"/>
  <c r="AS589" i="1"/>
  <c r="AT589" i="1"/>
  <c r="B590" i="1"/>
  <c r="C590" i="1"/>
  <c r="D590" i="1"/>
  <c r="E590" i="1"/>
  <c r="F590" i="1"/>
  <c r="H590" i="1"/>
  <c r="I590" i="1"/>
  <c r="J590" i="1"/>
  <c r="K590" i="1"/>
  <c r="L590" i="1"/>
  <c r="M590" i="1"/>
  <c r="N590" i="1"/>
  <c r="O590" i="1"/>
  <c r="W590" i="1"/>
  <c r="Y590" i="1"/>
  <c r="Z590" i="1"/>
  <c r="AA590" i="1"/>
  <c r="AC590" i="1"/>
  <c r="AE590" i="1"/>
  <c r="AF590" i="1"/>
  <c r="AG590" i="1"/>
  <c r="AK590" i="1"/>
  <c r="AS590" i="1"/>
  <c r="AT590" i="1"/>
  <c r="B591" i="1"/>
  <c r="C591" i="1"/>
  <c r="D591" i="1"/>
  <c r="E591" i="1"/>
  <c r="F591" i="1"/>
  <c r="H591" i="1"/>
  <c r="I591" i="1"/>
  <c r="J591" i="1"/>
  <c r="K591" i="1"/>
  <c r="L591" i="1"/>
  <c r="M591" i="1"/>
  <c r="N591" i="1"/>
  <c r="O591" i="1"/>
  <c r="W591" i="1"/>
  <c r="Y591" i="1"/>
  <c r="Z591" i="1"/>
  <c r="AA591" i="1"/>
  <c r="AC591" i="1"/>
  <c r="AE591" i="1"/>
  <c r="AF591" i="1"/>
  <c r="AG591" i="1"/>
  <c r="AK591" i="1"/>
  <c r="AS591" i="1"/>
  <c r="AT591" i="1"/>
  <c r="B592" i="1"/>
  <c r="C592" i="1"/>
  <c r="D592" i="1"/>
  <c r="E592" i="1"/>
  <c r="F592" i="1"/>
  <c r="H592" i="1"/>
  <c r="I592" i="1"/>
  <c r="J592" i="1"/>
  <c r="K592" i="1"/>
  <c r="L592" i="1"/>
  <c r="M592" i="1"/>
  <c r="N592" i="1"/>
  <c r="O592" i="1"/>
  <c r="Q592" i="1"/>
  <c r="W592" i="1"/>
  <c r="Y592" i="1"/>
  <c r="Z592" i="1"/>
  <c r="AA592" i="1"/>
  <c r="AC592" i="1"/>
  <c r="AE592" i="1"/>
  <c r="AF592" i="1"/>
  <c r="AG592" i="1"/>
  <c r="AK592" i="1"/>
  <c r="AS592" i="1"/>
  <c r="AT592" i="1"/>
  <c r="B593" i="1"/>
  <c r="C593" i="1"/>
  <c r="D593" i="1"/>
  <c r="E593" i="1"/>
  <c r="F593" i="1"/>
  <c r="H593" i="1"/>
  <c r="I593" i="1"/>
  <c r="J593" i="1"/>
  <c r="K593" i="1"/>
  <c r="L593" i="1"/>
  <c r="M593" i="1"/>
  <c r="N593" i="1"/>
  <c r="O593" i="1"/>
  <c r="W593" i="1"/>
  <c r="Y593" i="1"/>
  <c r="Z593" i="1"/>
  <c r="AA593" i="1"/>
  <c r="AC593" i="1"/>
  <c r="AE593" i="1"/>
  <c r="AF593" i="1"/>
  <c r="AG593" i="1"/>
  <c r="AK593" i="1"/>
  <c r="AS593" i="1"/>
  <c r="AT593" i="1"/>
  <c r="B594" i="1"/>
  <c r="C594" i="1"/>
  <c r="D594" i="1"/>
  <c r="E594" i="1"/>
  <c r="F594" i="1"/>
  <c r="H594" i="1"/>
  <c r="I594" i="1"/>
  <c r="J594" i="1"/>
  <c r="K594" i="1"/>
  <c r="L594" i="1"/>
  <c r="M594" i="1"/>
  <c r="N594" i="1"/>
  <c r="O594" i="1"/>
  <c r="S594" i="1"/>
  <c r="T594" i="1"/>
  <c r="U594" i="1"/>
  <c r="W594" i="1"/>
  <c r="Y594" i="1"/>
  <c r="Z594" i="1"/>
  <c r="AA594" i="1"/>
  <c r="AC594" i="1"/>
  <c r="AE594" i="1"/>
  <c r="AF594" i="1"/>
  <c r="AG594" i="1"/>
  <c r="AK594" i="1"/>
  <c r="AS594" i="1"/>
  <c r="AT594" i="1"/>
  <c r="B595" i="1"/>
  <c r="C595" i="1"/>
  <c r="D595" i="1"/>
  <c r="E595" i="1"/>
  <c r="F595" i="1"/>
  <c r="H595" i="1"/>
  <c r="I595" i="1"/>
  <c r="J595" i="1"/>
  <c r="K595" i="1"/>
  <c r="L595" i="1"/>
  <c r="M595" i="1"/>
  <c r="N595" i="1"/>
  <c r="O595" i="1"/>
  <c r="W595" i="1"/>
  <c r="Y595" i="1"/>
  <c r="Z595" i="1"/>
  <c r="AA595" i="1"/>
  <c r="AC595" i="1"/>
  <c r="AE595" i="1"/>
  <c r="AF595" i="1"/>
  <c r="AG595" i="1"/>
  <c r="AK595" i="1"/>
  <c r="AS595" i="1"/>
  <c r="AT595" i="1"/>
  <c r="B596" i="1"/>
  <c r="C596" i="1"/>
  <c r="D596" i="1"/>
  <c r="E596" i="1"/>
  <c r="F596" i="1"/>
  <c r="G596" i="1"/>
  <c r="H596" i="1"/>
  <c r="I596" i="1"/>
  <c r="J596" i="1"/>
  <c r="K596" i="1"/>
  <c r="L596" i="1"/>
  <c r="M596" i="1"/>
  <c r="N596" i="1"/>
  <c r="O596" i="1"/>
  <c r="W596" i="1"/>
  <c r="Y596" i="1"/>
  <c r="Z596" i="1"/>
  <c r="AA596" i="1"/>
  <c r="AC596" i="1"/>
  <c r="AE596" i="1"/>
  <c r="AF596" i="1"/>
  <c r="AG596" i="1"/>
  <c r="AK596" i="1"/>
  <c r="AS596" i="1"/>
  <c r="AT596" i="1"/>
  <c r="B597" i="1"/>
  <c r="C597" i="1"/>
  <c r="D597" i="1"/>
  <c r="E597" i="1"/>
  <c r="F597" i="1"/>
  <c r="H597" i="1"/>
  <c r="I597" i="1"/>
  <c r="J597" i="1"/>
  <c r="K597" i="1"/>
  <c r="L597" i="1"/>
  <c r="M597" i="1"/>
  <c r="N597" i="1"/>
  <c r="O597" i="1"/>
  <c r="W597" i="1"/>
  <c r="Y597" i="1"/>
  <c r="Z597" i="1"/>
  <c r="AA597" i="1"/>
  <c r="AC597" i="1"/>
  <c r="AE597" i="1"/>
  <c r="AF597" i="1"/>
  <c r="AG597" i="1"/>
  <c r="AK597" i="1"/>
  <c r="AS597" i="1"/>
  <c r="AT597" i="1"/>
  <c r="B598" i="1"/>
  <c r="C598" i="1"/>
  <c r="D598" i="1"/>
  <c r="E598" i="1"/>
  <c r="F598" i="1"/>
  <c r="H598" i="1"/>
  <c r="I598" i="1"/>
  <c r="J598" i="1"/>
  <c r="K598" i="1"/>
  <c r="L598" i="1"/>
  <c r="M598" i="1"/>
  <c r="N598" i="1"/>
  <c r="O598" i="1"/>
  <c r="W598" i="1"/>
  <c r="Y598" i="1"/>
  <c r="Z598" i="1"/>
  <c r="AA598" i="1"/>
  <c r="AC598" i="1"/>
  <c r="AE598" i="1"/>
  <c r="AF598" i="1"/>
  <c r="AG598" i="1"/>
  <c r="AK598" i="1"/>
  <c r="AS598" i="1"/>
  <c r="AT598" i="1"/>
  <c r="B599" i="1"/>
  <c r="C599" i="1"/>
  <c r="D599" i="1"/>
  <c r="E599" i="1"/>
  <c r="F599" i="1"/>
  <c r="H599" i="1"/>
  <c r="I599" i="1"/>
  <c r="J599" i="1"/>
  <c r="K599" i="1"/>
  <c r="L599" i="1"/>
  <c r="M599" i="1"/>
  <c r="N599" i="1"/>
  <c r="O599" i="1"/>
  <c r="W599" i="1"/>
  <c r="Y599" i="1"/>
  <c r="Z599" i="1"/>
  <c r="AA599" i="1"/>
  <c r="AC599" i="1"/>
  <c r="AE599" i="1"/>
  <c r="AF599" i="1"/>
  <c r="AG599" i="1"/>
  <c r="AK599" i="1"/>
  <c r="AS599" i="1"/>
  <c r="AT599" i="1"/>
  <c r="B600" i="1"/>
  <c r="C600" i="1"/>
  <c r="D600" i="1"/>
  <c r="E600" i="1"/>
  <c r="F600" i="1"/>
  <c r="H600" i="1"/>
  <c r="I600" i="1"/>
  <c r="J600" i="1"/>
  <c r="K600" i="1"/>
  <c r="L600" i="1"/>
  <c r="M600" i="1"/>
  <c r="N600" i="1"/>
  <c r="O600" i="1"/>
  <c r="W600" i="1"/>
  <c r="Y600" i="1"/>
  <c r="Z600" i="1"/>
  <c r="AA600" i="1"/>
  <c r="AC600" i="1"/>
  <c r="AE600" i="1"/>
  <c r="AF600" i="1"/>
  <c r="AG600" i="1"/>
  <c r="AK600" i="1"/>
  <c r="AS600" i="1"/>
  <c r="AT600" i="1"/>
  <c r="B601" i="1"/>
  <c r="C601" i="1"/>
  <c r="D601" i="1"/>
  <c r="E601" i="1"/>
  <c r="F601" i="1"/>
  <c r="H601" i="1"/>
  <c r="I601" i="1"/>
  <c r="J601" i="1"/>
  <c r="K601" i="1"/>
  <c r="L601" i="1"/>
  <c r="M601" i="1"/>
  <c r="N601" i="1"/>
  <c r="O601" i="1"/>
  <c r="S601" i="1"/>
  <c r="T601" i="1"/>
  <c r="U601" i="1"/>
  <c r="V601" i="1"/>
  <c r="W601" i="1"/>
  <c r="Y601" i="1"/>
  <c r="Z601" i="1"/>
  <c r="AA601" i="1"/>
  <c r="AC601" i="1"/>
  <c r="AE601" i="1"/>
  <c r="AF601" i="1"/>
  <c r="AG601" i="1"/>
  <c r="AK601" i="1"/>
  <c r="AS601" i="1"/>
  <c r="AT601" i="1"/>
  <c r="B602" i="1"/>
  <c r="C602" i="1"/>
  <c r="D602" i="1"/>
  <c r="E602" i="1"/>
  <c r="F602" i="1"/>
  <c r="H602" i="1"/>
  <c r="I602" i="1"/>
  <c r="J602" i="1"/>
  <c r="K602" i="1"/>
  <c r="L602" i="1"/>
  <c r="M602" i="1"/>
  <c r="N602" i="1"/>
  <c r="O602" i="1"/>
  <c r="W602" i="1"/>
  <c r="Y602" i="1"/>
  <c r="Z602" i="1"/>
  <c r="AA602" i="1"/>
  <c r="AC602" i="1"/>
  <c r="AE602" i="1"/>
  <c r="AF602" i="1"/>
  <c r="AG602" i="1"/>
  <c r="AK602" i="1"/>
  <c r="AS602" i="1"/>
  <c r="AT602" i="1"/>
  <c r="B603" i="1"/>
  <c r="C603" i="1"/>
  <c r="D603" i="1"/>
  <c r="E603" i="1"/>
  <c r="F603" i="1"/>
  <c r="H603" i="1"/>
  <c r="I603" i="1"/>
  <c r="J603" i="1"/>
  <c r="K603" i="1"/>
  <c r="L603" i="1"/>
  <c r="M603" i="1"/>
  <c r="N603" i="1"/>
  <c r="O603" i="1"/>
  <c r="W603" i="1"/>
  <c r="Y603" i="1"/>
  <c r="Z603" i="1"/>
  <c r="AA603" i="1"/>
  <c r="AC603" i="1"/>
  <c r="AE603" i="1"/>
  <c r="AF603" i="1"/>
  <c r="AG603" i="1"/>
  <c r="AK603" i="1"/>
  <c r="AS603" i="1"/>
  <c r="AT603" i="1"/>
  <c r="B604" i="1"/>
  <c r="C604" i="1"/>
  <c r="D604" i="1"/>
  <c r="E604" i="1"/>
  <c r="F604" i="1"/>
  <c r="H604" i="1"/>
  <c r="I604" i="1"/>
  <c r="J604" i="1"/>
  <c r="K604" i="1"/>
  <c r="L604" i="1"/>
  <c r="M604" i="1"/>
  <c r="N604" i="1"/>
  <c r="O604" i="1"/>
  <c r="W604" i="1"/>
  <c r="Y604" i="1"/>
  <c r="Z604" i="1"/>
  <c r="AA604" i="1"/>
  <c r="AC604" i="1"/>
  <c r="AE604" i="1"/>
  <c r="AF604" i="1"/>
  <c r="AG604" i="1"/>
  <c r="AK604" i="1"/>
  <c r="AS604" i="1"/>
  <c r="AT604" i="1"/>
  <c r="B605" i="1"/>
  <c r="C605" i="1"/>
  <c r="D605" i="1"/>
  <c r="E605" i="1"/>
  <c r="F605" i="1"/>
  <c r="G605" i="1"/>
  <c r="H605" i="1"/>
  <c r="I605" i="1"/>
  <c r="J605" i="1"/>
  <c r="K605" i="1"/>
  <c r="L605" i="1"/>
  <c r="M605" i="1"/>
  <c r="N605" i="1"/>
  <c r="O605" i="1"/>
  <c r="W605" i="1"/>
  <c r="Y605" i="1"/>
  <c r="Z605" i="1"/>
  <c r="AA605" i="1"/>
  <c r="AC605" i="1"/>
  <c r="AE605" i="1"/>
  <c r="AF605" i="1"/>
  <c r="AG605" i="1"/>
  <c r="AK605" i="1"/>
  <c r="AS605" i="1"/>
  <c r="AT605" i="1"/>
  <c r="B606" i="1"/>
  <c r="C606" i="1"/>
  <c r="D606" i="1"/>
  <c r="E606" i="1"/>
  <c r="F606" i="1"/>
  <c r="G606" i="1"/>
  <c r="H606" i="1"/>
  <c r="I606" i="1"/>
  <c r="J606" i="1"/>
  <c r="K606" i="1"/>
  <c r="L606" i="1"/>
  <c r="M606" i="1"/>
  <c r="N606" i="1"/>
  <c r="O606" i="1"/>
  <c r="W606" i="1"/>
  <c r="Y606" i="1"/>
  <c r="Z606" i="1"/>
  <c r="AA606" i="1"/>
  <c r="AC606" i="1"/>
  <c r="AE606" i="1"/>
  <c r="AF606" i="1"/>
  <c r="AG606" i="1"/>
  <c r="AK606" i="1"/>
  <c r="AS606" i="1"/>
  <c r="AT606" i="1"/>
  <c r="B607" i="1"/>
  <c r="C607" i="1"/>
  <c r="D607" i="1"/>
  <c r="E607" i="1"/>
  <c r="F607" i="1"/>
  <c r="H607" i="1"/>
  <c r="I607" i="1"/>
  <c r="J607" i="1"/>
  <c r="K607" i="1"/>
  <c r="L607" i="1"/>
  <c r="M607" i="1"/>
  <c r="N607" i="1"/>
  <c r="O607" i="1"/>
  <c r="W607" i="1"/>
  <c r="Y607" i="1"/>
  <c r="Z607" i="1"/>
  <c r="AA607" i="1"/>
  <c r="AC607" i="1"/>
  <c r="AE607" i="1"/>
  <c r="AF607" i="1"/>
  <c r="AG607" i="1"/>
  <c r="AK607" i="1"/>
  <c r="AS607" i="1"/>
  <c r="AT607" i="1"/>
  <c r="B608" i="1"/>
  <c r="C608" i="1"/>
  <c r="D608" i="1"/>
  <c r="E608" i="1"/>
  <c r="F608" i="1"/>
  <c r="H608" i="1"/>
  <c r="I608" i="1"/>
  <c r="J608" i="1"/>
  <c r="K608" i="1"/>
  <c r="L608" i="1"/>
  <c r="M608" i="1"/>
  <c r="N608" i="1"/>
  <c r="O608" i="1"/>
  <c r="S608" i="1"/>
  <c r="T608" i="1"/>
  <c r="U608" i="1"/>
  <c r="V608" i="1"/>
  <c r="W608" i="1"/>
  <c r="Y608" i="1"/>
  <c r="Z608" i="1"/>
  <c r="AA608" i="1"/>
  <c r="AC608" i="1"/>
  <c r="AE608" i="1"/>
  <c r="AF608" i="1"/>
  <c r="AG608" i="1"/>
  <c r="AK608" i="1"/>
  <c r="AS608" i="1"/>
  <c r="AT608" i="1"/>
  <c r="B609" i="1"/>
  <c r="C609" i="1"/>
  <c r="D609" i="1"/>
  <c r="E609" i="1"/>
  <c r="F609" i="1"/>
  <c r="H609" i="1"/>
  <c r="I609" i="1"/>
  <c r="J609" i="1"/>
  <c r="K609" i="1"/>
  <c r="L609" i="1"/>
  <c r="M609" i="1"/>
  <c r="N609" i="1"/>
  <c r="O609" i="1"/>
  <c r="W609" i="1"/>
  <c r="Y609" i="1"/>
  <c r="Z609" i="1"/>
  <c r="AA609" i="1"/>
  <c r="AC609" i="1"/>
  <c r="AE609" i="1"/>
  <c r="AF609" i="1"/>
  <c r="AG609" i="1"/>
  <c r="AK609" i="1"/>
  <c r="AS609" i="1"/>
  <c r="AT609" i="1"/>
  <c r="B610" i="1"/>
  <c r="C610" i="1"/>
  <c r="D610" i="1"/>
  <c r="E610" i="1"/>
  <c r="F610" i="1"/>
  <c r="H610" i="1"/>
  <c r="I610" i="1"/>
  <c r="J610" i="1"/>
  <c r="K610" i="1"/>
  <c r="L610" i="1"/>
  <c r="M610" i="1"/>
  <c r="N610" i="1"/>
  <c r="O610" i="1"/>
  <c r="W610" i="1"/>
  <c r="Y610" i="1"/>
  <c r="Z610" i="1"/>
  <c r="AA610" i="1"/>
  <c r="AC610" i="1"/>
  <c r="AE610" i="1"/>
  <c r="AF610" i="1"/>
  <c r="AG610" i="1"/>
  <c r="AK610" i="1"/>
  <c r="AS610" i="1"/>
  <c r="AT610" i="1"/>
  <c r="B611" i="1"/>
  <c r="C611" i="1"/>
  <c r="D611" i="1"/>
  <c r="E611" i="1"/>
  <c r="F611" i="1"/>
  <c r="H611" i="1"/>
  <c r="I611" i="1"/>
  <c r="J611" i="1"/>
  <c r="K611" i="1"/>
  <c r="L611" i="1"/>
  <c r="M611" i="1"/>
  <c r="N611" i="1"/>
  <c r="O611" i="1"/>
  <c r="W611" i="1"/>
  <c r="Y611" i="1"/>
  <c r="Z611" i="1"/>
  <c r="AA611" i="1"/>
  <c r="AC611" i="1"/>
  <c r="AE611" i="1"/>
  <c r="AF611" i="1"/>
  <c r="AG611" i="1"/>
  <c r="AK611" i="1"/>
  <c r="AS611" i="1"/>
  <c r="AT611" i="1"/>
  <c r="B612" i="1"/>
  <c r="C612" i="1"/>
  <c r="D612" i="1"/>
  <c r="E612" i="1"/>
  <c r="F612" i="1"/>
  <c r="H612" i="1"/>
  <c r="I612" i="1"/>
  <c r="J612" i="1"/>
  <c r="K612" i="1"/>
  <c r="L612" i="1"/>
  <c r="M612" i="1"/>
  <c r="N612" i="1"/>
  <c r="O612" i="1"/>
  <c r="W612" i="1"/>
  <c r="Y612" i="1"/>
  <c r="Z612" i="1"/>
  <c r="AA612" i="1"/>
  <c r="AC612" i="1"/>
  <c r="AE612" i="1"/>
  <c r="AF612" i="1"/>
  <c r="AG612" i="1"/>
  <c r="AK612" i="1"/>
  <c r="AS612" i="1"/>
  <c r="AT612" i="1"/>
  <c r="B613" i="1"/>
  <c r="C613" i="1"/>
  <c r="D613" i="1"/>
  <c r="E613" i="1"/>
  <c r="F613" i="1"/>
  <c r="H613" i="1"/>
  <c r="I613" i="1"/>
  <c r="J613" i="1"/>
  <c r="K613" i="1"/>
  <c r="L613" i="1"/>
  <c r="M613" i="1"/>
  <c r="N613" i="1"/>
  <c r="O613" i="1"/>
  <c r="W613" i="1"/>
  <c r="Y613" i="1"/>
  <c r="Z613" i="1"/>
  <c r="AA613" i="1"/>
  <c r="AC613" i="1"/>
  <c r="AE613" i="1"/>
  <c r="AF613" i="1"/>
  <c r="AG613" i="1"/>
  <c r="AK613" i="1"/>
  <c r="AS613" i="1"/>
  <c r="AT613" i="1"/>
  <c r="B614" i="1"/>
  <c r="C614" i="1"/>
  <c r="D614" i="1"/>
  <c r="E614" i="1"/>
  <c r="F614" i="1"/>
  <c r="G614" i="1"/>
  <c r="H614" i="1"/>
  <c r="I614" i="1"/>
  <c r="J614" i="1"/>
  <c r="K614" i="1"/>
  <c r="L614" i="1"/>
  <c r="M614" i="1"/>
  <c r="N614" i="1"/>
  <c r="O614" i="1"/>
  <c r="W614" i="1"/>
  <c r="Y614" i="1"/>
  <c r="Z614" i="1"/>
  <c r="AA614" i="1"/>
  <c r="AC614" i="1"/>
  <c r="AE614" i="1"/>
  <c r="AF614" i="1"/>
  <c r="AG614" i="1"/>
  <c r="AK614" i="1"/>
  <c r="AS614" i="1"/>
  <c r="AT614" i="1"/>
  <c r="B615" i="1"/>
  <c r="C615" i="1"/>
  <c r="D615" i="1"/>
  <c r="E615" i="1"/>
  <c r="F615" i="1"/>
  <c r="H615" i="1"/>
  <c r="I615" i="1"/>
  <c r="J615" i="1"/>
  <c r="K615" i="1"/>
  <c r="L615" i="1"/>
  <c r="M615" i="1"/>
  <c r="N615" i="1"/>
  <c r="O615" i="1"/>
  <c r="S615" i="1"/>
  <c r="T615" i="1"/>
  <c r="U615" i="1"/>
  <c r="W615" i="1"/>
  <c r="Y615" i="1"/>
  <c r="Z615" i="1"/>
  <c r="AA615" i="1"/>
  <c r="AC615" i="1"/>
  <c r="AE615" i="1"/>
  <c r="AF615" i="1"/>
  <c r="AG615" i="1"/>
  <c r="AK615" i="1"/>
  <c r="AS615" i="1"/>
  <c r="AT615" i="1"/>
  <c r="B616" i="1"/>
  <c r="C616" i="1"/>
  <c r="D616" i="1"/>
  <c r="E616" i="1"/>
  <c r="F616" i="1"/>
  <c r="G616" i="1"/>
  <c r="H616" i="1"/>
  <c r="I616" i="1"/>
  <c r="K616" i="1"/>
  <c r="L616" i="1"/>
  <c r="M616" i="1"/>
  <c r="N616" i="1"/>
  <c r="O616" i="1"/>
  <c r="W616" i="1"/>
  <c r="Y616" i="1"/>
  <c r="Z616" i="1"/>
  <c r="AA616" i="1"/>
  <c r="AC616" i="1"/>
  <c r="AE616" i="1"/>
  <c r="AF616" i="1"/>
  <c r="AG616" i="1"/>
  <c r="AK616" i="1"/>
  <c r="AS616" i="1"/>
  <c r="AT616" i="1"/>
  <c r="B617" i="1"/>
  <c r="C617" i="1"/>
  <c r="D617" i="1"/>
  <c r="E617" i="1"/>
  <c r="F617" i="1"/>
  <c r="H617" i="1"/>
  <c r="I617" i="1"/>
  <c r="J617" i="1"/>
  <c r="K617" i="1"/>
  <c r="L617" i="1"/>
  <c r="M617" i="1"/>
  <c r="N617" i="1"/>
  <c r="O617" i="1"/>
  <c r="S617" i="1"/>
  <c r="T617" i="1"/>
  <c r="U617" i="1"/>
  <c r="W617" i="1"/>
  <c r="Y617" i="1"/>
  <c r="Z617" i="1"/>
  <c r="AA617" i="1"/>
  <c r="AC617" i="1"/>
  <c r="AE617" i="1"/>
  <c r="AF617" i="1"/>
  <c r="AG617" i="1"/>
  <c r="AK617" i="1"/>
  <c r="AS617" i="1"/>
  <c r="AT617" i="1"/>
  <c r="B618" i="1"/>
  <c r="C618" i="1"/>
  <c r="D618" i="1"/>
  <c r="E618" i="1"/>
  <c r="F618" i="1"/>
  <c r="H618" i="1"/>
  <c r="I618" i="1"/>
  <c r="J618" i="1"/>
  <c r="K618" i="1"/>
  <c r="L618" i="1"/>
  <c r="M618" i="1"/>
  <c r="N618" i="1"/>
  <c r="O618" i="1"/>
  <c r="W618" i="1"/>
  <c r="Y618" i="1"/>
  <c r="Z618" i="1"/>
  <c r="AA618" i="1"/>
  <c r="AC618" i="1"/>
  <c r="AE618" i="1"/>
  <c r="AF618" i="1"/>
  <c r="AG618" i="1"/>
  <c r="AK618" i="1"/>
  <c r="AS618" i="1"/>
  <c r="AT618" i="1"/>
  <c r="B619" i="1"/>
  <c r="C619" i="1"/>
  <c r="D619" i="1"/>
  <c r="E619" i="1"/>
  <c r="F619" i="1"/>
  <c r="H619" i="1"/>
  <c r="I619" i="1"/>
  <c r="J619" i="1"/>
  <c r="K619" i="1"/>
  <c r="L619" i="1"/>
  <c r="M619" i="1"/>
  <c r="N619" i="1"/>
  <c r="O619" i="1"/>
  <c r="W619" i="1"/>
  <c r="Y619" i="1"/>
  <c r="Z619" i="1"/>
  <c r="AA619" i="1"/>
  <c r="AC619" i="1"/>
  <c r="AE619" i="1"/>
  <c r="AF619" i="1"/>
  <c r="AG619" i="1"/>
  <c r="AK619" i="1"/>
  <c r="AS619" i="1"/>
  <c r="AT619" i="1"/>
  <c r="B620" i="1"/>
  <c r="C620" i="1"/>
  <c r="D620" i="1"/>
  <c r="E620" i="1"/>
  <c r="F620" i="1"/>
  <c r="H620" i="1"/>
  <c r="I620" i="1"/>
  <c r="J620" i="1"/>
  <c r="K620" i="1"/>
  <c r="L620" i="1"/>
  <c r="M620" i="1"/>
  <c r="N620" i="1"/>
  <c r="O620" i="1"/>
  <c r="W620" i="1"/>
  <c r="Y620" i="1"/>
  <c r="Z620" i="1"/>
  <c r="AA620" i="1"/>
  <c r="AC620" i="1"/>
  <c r="AE620" i="1"/>
  <c r="AF620" i="1"/>
  <c r="AG620" i="1"/>
  <c r="AK620" i="1"/>
  <c r="AS620" i="1"/>
  <c r="AT620" i="1"/>
  <c r="B621" i="1"/>
  <c r="C621" i="1"/>
  <c r="D621" i="1"/>
  <c r="E621" i="1"/>
  <c r="F621" i="1"/>
  <c r="H621" i="1"/>
  <c r="I621" i="1"/>
  <c r="J621" i="1"/>
  <c r="K621" i="1"/>
  <c r="L621" i="1"/>
  <c r="M621" i="1"/>
  <c r="N621" i="1"/>
  <c r="O621" i="1"/>
  <c r="W621" i="1"/>
  <c r="Y621" i="1"/>
  <c r="Z621" i="1"/>
  <c r="AA621" i="1"/>
  <c r="AC621" i="1"/>
  <c r="AE621" i="1"/>
  <c r="AF621" i="1"/>
  <c r="AG621" i="1"/>
  <c r="AK621" i="1"/>
  <c r="AS621" i="1"/>
  <c r="AT621" i="1"/>
  <c r="B622" i="1"/>
  <c r="C622" i="1"/>
  <c r="D622" i="1"/>
  <c r="E622" i="1"/>
  <c r="F622" i="1"/>
  <c r="G622" i="1"/>
  <c r="H622" i="1"/>
  <c r="I622" i="1"/>
  <c r="J622" i="1"/>
  <c r="K622" i="1"/>
  <c r="L622" i="1"/>
  <c r="M622" i="1"/>
  <c r="N622" i="1"/>
  <c r="O622" i="1"/>
  <c r="S622" i="1"/>
  <c r="T622" i="1"/>
  <c r="U622" i="1"/>
  <c r="V622" i="1"/>
  <c r="W622" i="1"/>
  <c r="Y622" i="1"/>
  <c r="Z622" i="1"/>
  <c r="AA622" i="1"/>
  <c r="AC622" i="1"/>
  <c r="AE622" i="1"/>
  <c r="AF622" i="1"/>
  <c r="AG622" i="1"/>
  <c r="AK622" i="1"/>
  <c r="AS622" i="1"/>
  <c r="AT622" i="1"/>
  <c r="B623" i="1"/>
  <c r="C623" i="1"/>
  <c r="D623" i="1"/>
  <c r="E623" i="1"/>
  <c r="F623" i="1"/>
  <c r="G623" i="1"/>
  <c r="H623" i="1"/>
  <c r="I623" i="1"/>
  <c r="J623" i="1"/>
  <c r="K623" i="1"/>
  <c r="L623" i="1"/>
  <c r="M623" i="1"/>
  <c r="N623" i="1"/>
  <c r="O623" i="1"/>
  <c r="W623" i="1"/>
  <c r="Y623" i="1"/>
  <c r="Z623" i="1"/>
  <c r="AA623" i="1"/>
  <c r="AC623" i="1"/>
  <c r="AE623" i="1"/>
  <c r="AF623" i="1"/>
  <c r="AG623" i="1"/>
  <c r="AK623" i="1"/>
  <c r="AS623" i="1"/>
  <c r="AT623" i="1"/>
  <c r="B624" i="1"/>
  <c r="C624" i="1"/>
  <c r="D624" i="1"/>
  <c r="E624" i="1"/>
  <c r="F624" i="1"/>
  <c r="H624" i="1"/>
  <c r="I624" i="1"/>
  <c r="J624" i="1"/>
  <c r="K624" i="1"/>
  <c r="L624" i="1"/>
  <c r="M624" i="1"/>
  <c r="N624" i="1"/>
  <c r="O624" i="1"/>
  <c r="W624" i="1"/>
  <c r="Y624" i="1"/>
  <c r="Z624" i="1"/>
  <c r="AA624" i="1"/>
  <c r="AC624" i="1"/>
  <c r="AE624" i="1"/>
  <c r="AF624" i="1"/>
  <c r="AG624" i="1"/>
  <c r="AK624" i="1"/>
  <c r="AS624" i="1"/>
  <c r="AT624" i="1"/>
  <c r="B625" i="1"/>
  <c r="C625" i="1"/>
  <c r="D625" i="1"/>
  <c r="E625" i="1"/>
  <c r="F625" i="1"/>
  <c r="H625" i="1"/>
  <c r="I625" i="1"/>
  <c r="J625" i="1"/>
  <c r="K625" i="1"/>
  <c r="L625" i="1"/>
  <c r="M625" i="1"/>
  <c r="N625" i="1"/>
  <c r="O625" i="1"/>
  <c r="W625" i="1"/>
  <c r="Y625" i="1"/>
  <c r="Z625" i="1"/>
  <c r="AA625" i="1"/>
  <c r="AC625" i="1"/>
  <c r="AE625" i="1"/>
  <c r="AF625" i="1"/>
  <c r="AG625" i="1"/>
  <c r="AK625" i="1"/>
  <c r="AS625" i="1"/>
  <c r="AT625" i="1"/>
  <c r="B626" i="1"/>
  <c r="C626" i="1"/>
  <c r="D626" i="1"/>
  <c r="E626" i="1"/>
  <c r="F626" i="1"/>
  <c r="H626" i="1"/>
  <c r="I626" i="1"/>
  <c r="J626" i="1"/>
  <c r="K626" i="1"/>
  <c r="L626" i="1"/>
  <c r="M626" i="1"/>
  <c r="N626" i="1"/>
  <c r="O626" i="1"/>
  <c r="W626" i="1"/>
  <c r="Y626" i="1"/>
  <c r="Z626" i="1"/>
  <c r="AA626" i="1"/>
  <c r="AC626" i="1"/>
  <c r="AE626" i="1"/>
  <c r="AF626" i="1"/>
  <c r="AG626" i="1"/>
  <c r="AK626" i="1"/>
  <c r="AS626" i="1"/>
  <c r="AT626" i="1"/>
  <c r="B627" i="1"/>
  <c r="C627" i="1"/>
  <c r="D627" i="1"/>
  <c r="E627" i="1"/>
  <c r="F627" i="1"/>
  <c r="H627" i="1"/>
  <c r="I627" i="1"/>
  <c r="J627" i="1"/>
  <c r="K627" i="1"/>
  <c r="L627" i="1"/>
  <c r="M627" i="1"/>
  <c r="N627" i="1"/>
  <c r="O627" i="1"/>
  <c r="W627" i="1"/>
  <c r="Y627" i="1"/>
  <c r="Z627" i="1"/>
  <c r="AA627" i="1"/>
  <c r="AC627" i="1"/>
  <c r="AE627" i="1"/>
  <c r="AF627" i="1"/>
  <c r="AG627" i="1"/>
  <c r="AK627" i="1"/>
  <c r="AS627" i="1"/>
  <c r="AT627" i="1"/>
  <c r="B628" i="1"/>
  <c r="C628" i="1"/>
  <c r="D628" i="1"/>
  <c r="E628" i="1"/>
  <c r="F628" i="1"/>
  <c r="H628" i="1"/>
  <c r="I628" i="1"/>
  <c r="J628" i="1"/>
  <c r="K628" i="1"/>
  <c r="L628" i="1"/>
  <c r="M628" i="1"/>
  <c r="N628" i="1"/>
  <c r="O628" i="1"/>
  <c r="W628" i="1"/>
  <c r="Y628" i="1"/>
  <c r="Z628" i="1"/>
  <c r="AA628" i="1"/>
  <c r="AC628" i="1"/>
  <c r="AE628" i="1"/>
  <c r="AF628" i="1"/>
  <c r="AG628" i="1"/>
  <c r="AK628" i="1"/>
  <c r="AS628" i="1"/>
  <c r="AT628" i="1"/>
  <c r="B629" i="1"/>
  <c r="C629" i="1"/>
  <c r="D629" i="1"/>
  <c r="E629" i="1"/>
  <c r="F629" i="1"/>
  <c r="G629" i="1"/>
  <c r="H629" i="1"/>
  <c r="I629" i="1"/>
  <c r="J629" i="1"/>
  <c r="K629" i="1"/>
  <c r="L629" i="1"/>
  <c r="M629" i="1"/>
  <c r="N629" i="1"/>
  <c r="O629" i="1"/>
  <c r="S629" i="1"/>
  <c r="T629" i="1"/>
  <c r="U629" i="1"/>
  <c r="W629" i="1"/>
  <c r="Y629" i="1"/>
  <c r="Z629" i="1"/>
  <c r="AA629" i="1"/>
  <c r="AC629" i="1"/>
  <c r="AE629" i="1"/>
  <c r="AF629" i="1"/>
  <c r="AG629" i="1"/>
  <c r="AK629" i="1"/>
  <c r="AS629" i="1"/>
  <c r="AT629" i="1"/>
  <c r="B630" i="1"/>
  <c r="C630" i="1"/>
  <c r="D630" i="1"/>
  <c r="E630" i="1"/>
  <c r="F630" i="1"/>
  <c r="G630" i="1"/>
  <c r="H630" i="1"/>
  <c r="I630" i="1"/>
  <c r="J630" i="1"/>
  <c r="K630" i="1"/>
  <c r="L630" i="1"/>
  <c r="M630" i="1"/>
  <c r="N630" i="1"/>
  <c r="O630" i="1"/>
  <c r="W630" i="1"/>
  <c r="Y630" i="1"/>
  <c r="Z630" i="1"/>
  <c r="AA630" i="1"/>
  <c r="AC630" i="1"/>
  <c r="AE630" i="1"/>
  <c r="AF630" i="1"/>
  <c r="AG630" i="1"/>
  <c r="AK630" i="1"/>
  <c r="AS630" i="1"/>
  <c r="AT630" i="1"/>
  <c r="B631" i="1"/>
  <c r="C631" i="1"/>
  <c r="D631" i="1"/>
  <c r="E631" i="1"/>
  <c r="F631" i="1"/>
  <c r="H631" i="1"/>
  <c r="I631" i="1"/>
  <c r="J631" i="1"/>
  <c r="K631" i="1"/>
  <c r="L631" i="1"/>
  <c r="M631" i="1"/>
  <c r="N631" i="1"/>
  <c r="O631" i="1"/>
  <c r="W631" i="1"/>
  <c r="Y631" i="1"/>
  <c r="Z631" i="1"/>
  <c r="AA631" i="1"/>
  <c r="AC631" i="1"/>
  <c r="AE631" i="1"/>
  <c r="AF631" i="1"/>
  <c r="AG631" i="1"/>
  <c r="AK631" i="1"/>
  <c r="AS631" i="1"/>
  <c r="AT631" i="1"/>
  <c r="B632" i="1"/>
  <c r="C632" i="1"/>
  <c r="D632" i="1"/>
  <c r="E632" i="1"/>
  <c r="F632" i="1"/>
  <c r="H632" i="1"/>
  <c r="I632" i="1"/>
  <c r="J632" i="1"/>
  <c r="K632" i="1"/>
  <c r="L632" i="1"/>
  <c r="M632" i="1"/>
  <c r="N632" i="1"/>
  <c r="O632" i="1"/>
  <c r="W632" i="1"/>
  <c r="Y632" i="1"/>
  <c r="Z632" i="1"/>
  <c r="AA632" i="1"/>
  <c r="AC632" i="1"/>
  <c r="AE632" i="1"/>
  <c r="AF632" i="1"/>
  <c r="AG632" i="1"/>
  <c r="AK632" i="1"/>
  <c r="AS632" i="1"/>
  <c r="AT632" i="1"/>
  <c r="B633" i="1"/>
  <c r="C633" i="1"/>
  <c r="D633" i="1"/>
  <c r="E633" i="1"/>
  <c r="F633" i="1"/>
  <c r="H633" i="1"/>
  <c r="I633" i="1"/>
  <c r="J633" i="1"/>
  <c r="K633" i="1"/>
  <c r="L633" i="1"/>
  <c r="M633" i="1"/>
  <c r="N633" i="1"/>
  <c r="O633" i="1"/>
  <c r="W633" i="1"/>
  <c r="Y633" i="1"/>
  <c r="Z633" i="1"/>
  <c r="AA633" i="1"/>
  <c r="AC633" i="1"/>
  <c r="AE633" i="1"/>
  <c r="AF633" i="1"/>
  <c r="AG633" i="1"/>
  <c r="AK633" i="1"/>
  <c r="AS633" i="1"/>
  <c r="AT633" i="1"/>
  <c r="B634" i="1"/>
  <c r="C634" i="1"/>
  <c r="D634" i="1"/>
  <c r="E634" i="1"/>
  <c r="F634" i="1"/>
  <c r="H634" i="1"/>
  <c r="I634" i="1"/>
  <c r="J634" i="1"/>
  <c r="K634" i="1"/>
  <c r="L634" i="1"/>
  <c r="M634" i="1"/>
  <c r="N634" i="1"/>
  <c r="O634" i="1"/>
  <c r="W634" i="1"/>
  <c r="Y634" i="1"/>
  <c r="Z634" i="1"/>
  <c r="AA634" i="1"/>
  <c r="AC634" i="1"/>
  <c r="AE634" i="1"/>
  <c r="AF634" i="1"/>
  <c r="AG634" i="1"/>
  <c r="AK634" i="1"/>
  <c r="AS634" i="1"/>
  <c r="AT634" i="1"/>
  <c r="B635" i="1"/>
  <c r="C635" i="1"/>
  <c r="D635" i="1"/>
  <c r="E635" i="1"/>
  <c r="F635" i="1"/>
  <c r="H635" i="1"/>
  <c r="I635" i="1"/>
  <c r="J635" i="1"/>
  <c r="K635" i="1"/>
  <c r="L635" i="1"/>
  <c r="M635" i="1"/>
  <c r="N635" i="1"/>
  <c r="O635" i="1"/>
  <c r="W635" i="1"/>
  <c r="Y635" i="1"/>
  <c r="Z635" i="1"/>
  <c r="AA635" i="1"/>
  <c r="AC635" i="1"/>
  <c r="AE635" i="1"/>
  <c r="AF635" i="1"/>
  <c r="AG635" i="1"/>
  <c r="AK635" i="1"/>
  <c r="AS635" i="1"/>
  <c r="AT635" i="1"/>
  <c r="B636" i="1"/>
  <c r="C636" i="1"/>
  <c r="D636" i="1"/>
  <c r="E636" i="1"/>
  <c r="F636" i="1"/>
  <c r="H636" i="1"/>
  <c r="I636" i="1"/>
  <c r="J636" i="1"/>
  <c r="K636" i="1"/>
  <c r="L636" i="1"/>
  <c r="M636" i="1"/>
  <c r="N636" i="1"/>
  <c r="O636" i="1"/>
  <c r="W636" i="1"/>
  <c r="Y636" i="1"/>
  <c r="Z636" i="1"/>
  <c r="AA636" i="1"/>
  <c r="AC636" i="1"/>
  <c r="AE636" i="1"/>
  <c r="AF636" i="1"/>
  <c r="AG636" i="1"/>
  <c r="AK636" i="1"/>
  <c r="AS636" i="1"/>
  <c r="AT636" i="1"/>
  <c r="B637" i="1"/>
  <c r="C637" i="1"/>
  <c r="D637" i="1"/>
  <c r="E637" i="1"/>
  <c r="F637" i="1"/>
  <c r="H637" i="1"/>
  <c r="I637" i="1"/>
  <c r="J637" i="1"/>
  <c r="K637" i="1"/>
  <c r="L637" i="1"/>
  <c r="M637" i="1"/>
  <c r="N637" i="1"/>
  <c r="O637" i="1"/>
  <c r="W637" i="1"/>
  <c r="Y637" i="1"/>
  <c r="Z637" i="1"/>
  <c r="AA637" i="1"/>
  <c r="AC637" i="1"/>
  <c r="AE637" i="1"/>
  <c r="AF637" i="1"/>
  <c r="AG637" i="1"/>
  <c r="AK637" i="1"/>
  <c r="AS637" i="1"/>
  <c r="AT637" i="1"/>
  <c r="B638" i="1"/>
  <c r="C638" i="1"/>
  <c r="D638" i="1"/>
  <c r="E638" i="1"/>
  <c r="F638" i="1"/>
  <c r="G638" i="1"/>
  <c r="H638" i="1"/>
  <c r="I638" i="1"/>
  <c r="J638" i="1"/>
  <c r="K638" i="1"/>
  <c r="L638" i="1"/>
  <c r="M638" i="1"/>
  <c r="N638" i="1"/>
  <c r="O638" i="1"/>
  <c r="W638" i="1"/>
  <c r="Y638" i="1"/>
  <c r="Z638" i="1"/>
  <c r="AA638" i="1"/>
  <c r="AC638" i="1"/>
  <c r="AE638" i="1"/>
  <c r="AF638" i="1"/>
  <c r="AG638" i="1"/>
  <c r="AK638" i="1"/>
  <c r="AS638" i="1"/>
  <c r="AT638" i="1"/>
  <c r="B639" i="1"/>
  <c r="C639" i="1"/>
  <c r="D639" i="1"/>
  <c r="E639" i="1"/>
  <c r="F639" i="1"/>
  <c r="G639" i="1"/>
  <c r="H639" i="1"/>
  <c r="I639" i="1"/>
  <c r="J639" i="1"/>
  <c r="K639" i="1"/>
  <c r="L639" i="1"/>
  <c r="M639" i="1"/>
  <c r="N639" i="1"/>
  <c r="O639" i="1"/>
  <c r="W639" i="1"/>
  <c r="Y639" i="1"/>
  <c r="Z639" i="1"/>
  <c r="AA639" i="1"/>
  <c r="AC639" i="1"/>
  <c r="AE639" i="1"/>
  <c r="AF639" i="1"/>
  <c r="AG639" i="1"/>
  <c r="AK639" i="1"/>
  <c r="AS639" i="1"/>
  <c r="AT639" i="1"/>
  <c r="B640" i="1"/>
  <c r="C640" i="1"/>
  <c r="D640" i="1"/>
  <c r="E640" i="1"/>
  <c r="F640" i="1"/>
  <c r="H640" i="1"/>
  <c r="I640" i="1"/>
  <c r="J640" i="1"/>
  <c r="K640" i="1"/>
  <c r="L640" i="1"/>
  <c r="M640" i="1"/>
  <c r="N640" i="1"/>
  <c r="O640" i="1"/>
  <c r="W640" i="1"/>
  <c r="Y640" i="1"/>
  <c r="Z640" i="1"/>
  <c r="AA640" i="1"/>
  <c r="AC640" i="1"/>
  <c r="AE640" i="1"/>
  <c r="AF640" i="1"/>
  <c r="AG640" i="1"/>
  <c r="AK640" i="1"/>
  <c r="AS640" i="1"/>
  <c r="AT640" i="1"/>
  <c r="B641" i="1"/>
  <c r="C641" i="1"/>
  <c r="D641" i="1"/>
  <c r="E641" i="1"/>
  <c r="F641" i="1"/>
  <c r="H641" i="1"/>
  <c r="I641" i="1"/>
  <c r="J641" i="1"/>
  <c r="K641" i="1"/>
  <c r="L641" i="1"/>
  <c r="M641" i="1"/>
  <c r="N641" i="1"/>
  <c r="O641" i="1"/>
  <c r="W641" i="1"/>
  <c r="Y641" i="1"/>
  <c r="Z641" i="1"/>
  <c r="AA641" i="1"/>
  <c r="AC641" i="1"/>
  <c r="AE641" i="1"/>
  <c r="AF641" i="1"/>
  <c r="AG641" i="1"/>
  <c r="AK641" i="1"/>
  <c r="AS641" i="1"/>
  <c r="AT641" i="1"/>
  <c r="B642" i="1"/>
  <c r="C642" i="1"/>
  <c r="D642" i="1"/>
  <c r="E642" i="1"/>
  <c r="F642" i="1"/>
  <c r="H642" i="1"/>
  <c r="I642" i="1"/>
  <c r="J642" i="1"/>
  <c r="K642" i="1"/>
  <c r="L642" i="1"/>
  <c r="M642" i="1"/>
  <c r="N642" i="1"/>
  <c r="O642" i="1"/>
  <c r="S642" i="1"/>
  <c r="T642" i="1"/>
  <c r="U642" i="1"/>
  <c r="W642" i="1"/>
  <c r="Y642" i="1"/>
  <c r="Z642" i="1"/>
  <c r="AA642" i="1"/>
  <c r="AC642" i="1"/>
  <c r="AE642" i="1"/>
  <c r="AF642" i="1"/>
  <c r="AG642" i="1"/>
  <c r="AK642" i="1"/>
  <c r="AS642" i="1"/>
  <c r="AT642" i="1"/>
  <c r="B643" i="1"/>
  <c r="C643" i="1"/>
  <c r="D643" i="1"/>
  <c r="E643" i="1"/>
  <c r="F643" i="1"/>
  <c r="G643" i="1"/>
  <c r="H643" i="1"/>
  <c r="I643" i="1"/>
  <c r="J643" i="1"/>
  <c r="K643" i="1"/>
  <c r="L643" i="1"/>
  <c r="M643" i="1"/>
  <c r="N643" i="1"/>
  <c r="O643" i="1"/>
  <c r="S643" i="1"/>
  <c r="T643" i="1"/>
  <c r="U643" i="1"/>
  <c r="V643" i="1"/>
  <c r="W643" i="1"/>
  <c r="Y643" i="1"/>
  <c r="Z643" i="1"/>
  <c r="AA643" i="1"/>
  <c r="AC643" i="1"/>
  <c r="AE643" i="1"/>
  <c r="AF643" i="1"/>
  <c r="AG643" i="1"/>
  <c r="AK643" i="1"/>
  <c r="AS643" i="1"/>
  <c r="AT643" i="1"/>
  <c r="B644" i="1"/>
  <c r="C644" i="1"/>
  <c r="D644" i="1"/>
  <c r="E644" i="1"/>
  <c r="F644" i="1"/>
  <c r="H644" i="1"/>
  <c r="I644" i="1"/>
  <c r="J644" i="1"/>
  <c r="K644" i="1"/>
  <c r="L644" i="1"/>
  <c r="M644" i="1"/>
  <c r="N644" i="1"/>
  <c r="O644" i="1"/>
  <c r="W644" i="1"/>
  <c r="Y644" i="1"/>
  <c r="Z644" i="1"/>
  <c r="AA644" i="1"/>
  <c r="AC644" i="1"/>
  <c r="AE644" i="1"/>
  <c r="AF644" i="1"/>
  <c r="AG644" i="1"/>
  <c r="AK644" i="1"/>
  <c r="AS644" i="1"/>
  <c r="AT644" i="1"/>
  <c r="B645" i="1"/>
  <c r="C645" i="1"/>
  <c r="D645" i="1"/>
  <c r="E645" i="1"/>
  <c r="F645" i="1"/>
  <c r="H645" i="1"/>
  <c r="I645" i="1"/>
  <c r="J645" i="1"/>
  <c r="K645" i="1"/>
  <c r="L645" i="1"/>
  <c r="M645" i="1"/>
  <c r="N645" i="1"/>
  <c r="O645" i="1"/>
  <c r="W645" i="1"/>
  <c r="Y645" i="1"/>
  <c r="Z645" i="1"/>
  <c r="AA645" i="1"/>
  <c r="AC645" i="1"/>
  <c r="AE645" i="1"/>
  <c r="AF645" i="1"/>
  <c r="AG645" i="1"/>
  <c r="AK645" i="1"/>
  <c r="AS645" i="1"/>
  <c r="AT645" i="1"/>
  <c r="B646" i="1"/>
  <c r="C646" i="1"/>
  <c r="D646" i="1"/>
  <c r="E646" i="1"/>
  <c r="F646" i="1"/>
  <c r="G646" i="1"/>
  <c r="H646" i="1"/>
  <c r="I646" i="1"/>
  <c r="J646" i="1"/>
  <c r="K646" i="1"/>
  <c r="L646" i="1"/>
  <c r="M646" i="1"/>
  <c r="N646" i="1"/>
  <c r="O646" i="1"/>
  <c r="W646" i="1"/>
  <c r="Y646" i="1"/>
  <c r="Z646" i="1"/>
  <c r="AA646" i="1"/>
  <c r="AC646" i="1"/>
  <c r="AE646" i="1"/>
  <c r="AF646" i="1"/>
  <c r="AG646" i="1"/>
  <c r="AK646" i="1"/>
  <c r="AS646" i="1"/>
  <c r="AT646" i="1"/>
  <c r="B647" i="1"/>
  <c r="C647" i="1"/>
  <c r="D647" i="1"/>
  <c r="E647" i="1"/>
  <c r="F647" i="1"/>
  <c r="G647" i="1"/>
  <c r="H647" i="1"/>
  <c r="I647" i="1"/>
  <c r="J647" i="1"/>
  <c r="K647" i="1"/>
  <c r="L647" i="1"/>
  <c r="M647" i="1"/>
  <c r="N647" i="1"/>
  <c r="O647" i="1"/>
  <c r="W647" i="1"/>
  <c r="Y647" i="1"/>
  <c r="Z647" i="1"/>
  <c r="AA647" i="1"/>
  <c r="AC647" i="1"/>
  <c r="AE647" i="1"/>
  <c r="AF647" i="1"/>
  <c r="AG647" i="1"/>
  <c r="AK647" i="1"/>
  <c r="AS647" i="1"/>
  <c r="AT647" i="1"/>
  <c r="B648" i="1"/>
  <c r="C648" i="1"/>
  <c r="D648" i="1"/>
  <c r="E648" i="1"/>
  <c r="F648" i="1"/>
  <c r="H648" i="1"/>
  <c r="I648" i="1"/>
  <c r="J648" i="1"/>
  <c r="K648" i="1"/>
  <c r="L648" i="1"/>
  <c r="M648" i="1"/>
  <c r="N648" i="1"/>
  <c r="O648" i="1"/>
  <c r="W648" i="1"/>
  <c r="Y648" i="1"/>
  <c r="Z648" i="1"/>
  <c r="AA648" i="1"/>
  <c r="AC648" i="1"/>
  <c r="AE648" i="1"/>
  <c r="AF648" i="1"/>
  <c r="AG648" i="1"/>
  <c r="AK648" i="1"/>
  <c r="AS648" i="1"/>
  <c r="AT648" i="1"/>
  <c r="B649" i="1"/>
  <c r="C649" i="1"/>
  <c r="D649" i="1"/>
  <c r="E649" i="1"/>
  <c r="F649" i="1"/>
  <c r="G649" i="1"/>
  <c r="H649" i="1"/>
  <c r="I649" i="1"/>
  <c r="J649" i="1"/>
  <c r="K649" i="1"/>
  <c r="L649" i="1"/>
  <c r="M649" i="1"/>
  <c r="N649" i="1"/>
  <c r="O649" i="1"/>
  <c r="W649" i="1"/>
  <c r="Y649" i="1"/>
  <c r="Z649" i="1"/>
  <c r="AA649" i="1"/>
  <c r="AC649" i="1"/>
  <c r="AE649" i="1"/>
  <c r="AF649" i="1"/>
  <c r="AG649" i="1"/>
  <c r="AK649" i="1"/>
  <c r="AS649" i="1"/>
  <c r="AT649" i="1"/>
  <c r="B650" i="1"/>
  <c r="C650" i="1"/>
  <c r="D650" i="1"/>
  <c r="E650" i="1"/>
  <c r="F650" i="1"/>
  <c r="H650" i="1"/>
  <c r="I650" i="1"/>
  <c r="J650" i="1"/>
  <c r="K650" i="1"/>
  <c r="L650" i="1"/>
  <c r="M650" i="1"/>
  <c r="N650" i="1"/>
  <c r="O650" i="1"/>
  <c r="W650" i="1"/>
  <c r="Y650" i="1"/>
  <c r="Z650" i="1"/>
  <c r="AA650" i="1"/>
  <c r="AC650" i="1"/>
  <c r="AE650" i="1"/>
  <c r="AF650" i="1"/>
  <c r="AG650" i="1"/>
  <c r="AK650" i="1"/>
  <c r="AS650" i="1"/>
  <c r="AT650" i="1"/>
  <c r="B651" i="1"/>
  <c r="C651" i="1"/>
  <c r="D651" i="1"/>
  <c r="E651" i="1"/>
  <c r="F651" i="1"/>
  <c r="H651" i="1"/>
  <c r="I651" i="1"/>
  <c r="J651" i="1"/>
  <c r="K651" i="1"/>
  <c r="L651" i="1"/>
  <c r="M651" i="1"/>
  <c r="N651" i="1"/>
  <c r="O651" i="1"/>
  <c r="W651" i="1"/>
  <c r="Y651" i="1"/>
  <c r="Z651" i="1"/>
  <c r="AA651" i="1"/>
  <c r="AC651" i="1"/>
  <c r="AE651" i="1"/>
  <c r="AF651" i="1"/>
  <c r="AG651" i="1"/>
  <c r="AK651" i="1"/>
  <c r="AS651" i="1"/>
  <c r="AT651" i="1"/>
  <c r="B652" i="1"/>
  <c r="C652" i="1"/>
  <c r="D652" i="1"/>
  <c r="E652" i="1"/>
  <c r="F652" i="1"/>
  <c r="H652" i="1"/>
  <c r="I652" i="1"/>
  <c r="J652" i="1"/>
  <c r="K652" i="1"/>
  <c r="L652" i="1"/>
  <c r="M652" i="1"/>
  <c r="N652" i="1"/>
  <c r="O652" i="1"/>
  <c r="W652" i="1"/>
  <c r="Y652" i="1"/>
  <c r="Z652" i="1"/>
  <c r="AA652" i="1"/>
  <c r="AC652" i="1"/>
  <c r="AE652" i="1"/>
  <c r="AF652" i="1"/>
  <c r="AG652" i="1"/>
  <c r="AK652" i="1"/>
  <c r="AS652" i="1"/>
  <c r="AT652" i="1"/>
  <c r="B653" i="1"/>
  <c r="C653" i="1"/>
  <c r="D653" i="1"/>
  <c r="E653" i="1"/>
  <c r="F653" i="1"/>
  <c r="H653" i="1"/>
  <c r="I653" i="1"/>
  <c r="J653" i="1"/>
  <c r="K653" i="1"/>
  <c r="L653" i="1"/>
  <c r="M653" i="1"/>
  <c r="N653" i="1"/>
  <c r="O653" i="1"/>
  <c r="W653" i="1"/>
  <c r="Y653" i="1"/>
  <c r="Z653" i="1"/>
  <c r="AA653" i="1"/>
  <c r="AC653" i="1"/>
  <c r="AE653" i="1"/>
  <c r="AF653" i="1"/>
  <c r="AG653" i="1"/>
  <c r="AK653" i="1"/>
  <c r="AS653" i="1"/>
  <c r="AT653" i="1"/>
  <c r="B654" i="1"/>
  <c r="C654" i="1"/>
  <c r="D654" i="1"/>
  <c r="E654" i="1"/>
  <c r="F654" i="1"/>
  <c r="G654" i="1"/>
  <c r="H654" i="1"/>
  <c r="I654" i="1"/>
  <c r="J654" i="1"/>
  <c r="K654" i="1"/>
  <c r="L654" i="1"/>
  <c r="M654" i="1"/>
  <c r="N654" i="1"/>
  <c r="O654" i="1"/>
  <c r="W654" i="1"/>
  <c r="Y654" i="1"/>
  <c r="Z654" i="1"/>
  <c r="AA654" i="1"/>
  <c r="AC654" i="1"/>
  <c r="AE654" i="1"/>
  <c r="AF654" i="1"/>
  <c r="AG654" i="1"/>
  <c r="AK654" i="1"/>
  <c r="AS654" i="1"/>
  <c r="AT654" i="1"/>
  <c r="B655" i="1"/>
  <c r="C655" i="1"/>
  <c r="D655" i="1"/>
  <c r="E655" i="1"/>
  <c r="F655" i="1"/>
  <c r="H655" i="1"/>
  <c r="I655" i="1"/>
  <c r="J655" i="1"/>
  <c r="K655" i="1"/>
  <c r="L655" i="1"/>
  <c r="M655" i="1"/>
  <c r="N655" i="1"/>
  <c r="O655" i="1"/>
  <c r="W655" i="1"/>
  <c r="Y655" i="1"/>
  <c r="Z655" i="1"/>
  <c r="AA655" i="1"/>
  <c r="AC655" i="1"/>
  <c r="AE655" i="1"/>
  <c r="AF655" i="1"/>
  <c r="AG655" i="1"/>
  <c r="AK655" i="1"/>
  <c r="AS655" i="1"/>
  <c r="AT655" i="1"/>
  <c r="B656" i="1"/>
  <c r="C656" i="1"/>
  <c r="D656" i="1"/>
  <c r="E656" i="1"/>
  <c r="F656" i="1"/>
  <c r="H656" i="1"/>
  <c r="I656" i="1"/>
  <c r="J656" i="1"/>
  <c r="K656" i="1"/>
  <c r="L656" i="1"/>
  <c r="M656" i="1"/>
  <c r="N656" i="1"/>
  <c r="O656" i="1"/>
  <c r="W656" i="1"/>
  <c r="Y656" i="1"/>
  <c r="Z656" i="1"/>
  <c r="AA656" i="1"/>
  <c r="AC656" i="1"/>
  <c r="AE656" i="1"/>
  <c r="AF656" i="1"/>
  <c r="AG656" i="1"/>
  <c r="AK656" i="1"/>
  <c r="AS656" i="1"/>
  <c r="AT656" i="1"/>
  <c r="B657" i="1"/>
  <c r="C657" i="1"/>
  <c r="D657" i="1"/>
  <c r="E657" i="1"/>
  <c r="F657" i="1"/>
  <c r="H657" i="1"/>
  <c r="I657" i="1"/>
  <c r="J657" i="1"/>
  <c r="K657" i="1"/>
  <c r="L657" i="1"/>
  <c r="M657" i="1"/>
  <c r="N657" i="1"/>
  <c r="O657" i="1"/>
  <c r="W657" i="1"/>
  <c r="Y657" i="1"/>
  <c r="Z657" i="1"/>
  <c r="AA657" i="1"/>
  <c r="AC657" i="1"/>
  <c r="AE657" i="1"/>
  <c r="AF657" i="1"/>
  <c r="AG657" i="1"/>
  <c r="AK657" i="1"/>
  <c r="AS657" i="1"/>
  <c r="AT657" i="1"/>
  <c r="B658" i="1"/>
  <c r="C658" i="1"/>
  <c r="D658" i="1"/>
  <c r="E658" i="1"/>
  <c r="F658" i="1"/>
  <c r="G658" i="1"/>
  <c r="H658" i="1"/>
  <c r="I658" i="1"/>
  <c r="J658" i="1"/>
  <c r="K658" i="1"/>
  <c r="L658" i="1"/>
  <c r="M658" i="1"/>
  <c r="N658" i="1"/>
  <c r="O658" i="1"/>
  <c r="W658" i="1"/>
  <c r="Y658" i="1"/>
  <c r="Z658" i="1"/>
  <c r="AA658" i="1"/>
  <c r="AC658" i="1"/>
  <c r="AE658" i="1"/>
  <c r="AF658" i="1"/>
  <c r="AG658" i="1"/>
  <c r="AK658" i="1"/>
  <c r="AS658" i="1"/>
  <c r="AT658" i="1"/>
  <c r="B659" i="1"/>
  <c r="C659" i="1"/>
  <c r="D659" i="1"/>
  <c r="E659" i="1"/>
  <c r="F659" i="1"/>
  <c r="G659" i="1"/>
  <c r="H659" i="1"/>
  <c r="I659" i="1"/>
  <c r="J659" i="1"/>
  <c r="K659" i="1"/>
  <c r="L659" i="1"/>
  <c r="M659" i="1"/>
  <c r="N659" i="1"/>
  <c r="O659" i="1"/>
  <c r="W659" i="1"/>
  <c r="Y659" i="1"/>
  <c r="Z659" i="1"/>
  <c r="AA659" i="1"/>
  <c r="AC659" i="1"/>
  <c r="AE659" i="1"/>
  <c r="AF659" i="1"/>
  <c r="AG659" i="1"/>
  <c r="AK659" i="1"/>
  <c r="AS659" i="1"/>
  <c r="AT659" i="1"/>
  <c r="B660" i="1"/>
  <c r="C660" i="1"/>
  <c r="D660" i="1"/>
  <c r="E660" i="1"/>
  <c r="F660" i="1"/>
  <c r="H660" i="1"/>
  <c r="I660" i="1"/>
  <c r="J660" i="1"/>
  <c r="K660" i="1"/>
  <c r="L660" i="1"/>
  <c r="M660" i="1"/>
  <c r="N660" i="1"/>
  <c r="O660" i="1"/>
  <c r="W660" i="1"/>
  <c r="Y660" i="1"/>
  <c r="Z660" i="1"/>
  <c r="AA660" i="1"/>
  <c r="AC660" i="1"/>
  <c r="AE660" i="1"/>
  <c r="AF660" i="1"/>
  <c r="AG660" i="1"/>
  <c r="AK660" i="1"/>
  <c r="AS660" i="1"/>
  <c r="AT660" i="1"/>
  <c r="B661" i="1"/>
  <c r="C661" i="1"/>
  <c r="D661" i="1"/>
  <c r="E661" i="1"/>
  <c r="F661" i="1"/>
  <c r="H661" i="1"/>
  <c r="I661" i="1"/>
  <c r="J661" i="1"/>
  <c r="K661" i="1"/>
  <c r="L661" i="1"/>
  <c r="M661" i="1"/>
  <c r="N661" i="1"/>
  <c r="O661" i="1"/>
  <c r="W661" i="1"/>
  <c r="Y661" i="1"/>
  <c r="Z661" i="1"/>
  <c r="AA661" i="1"/>
  <c r="AC661" i="1"/>
  <c r="AE661" i="1"/>
  <c r="AF661" i="1"/>
  <c r="AG661" i="1"/>
  <c r="AK661" i="1"/>
  <c r="AS661" i="1"/>
  <c r="AT661" i="1"/>
  <c r="B662" i="1"/>
  <c r="C662" i="1"/>
  <c r="D662" i="1"/>
  <c r="E662" i="1"/>
  <c r="F662" i="1"/>
  <c r="H662" i="1"/>
  <c r="I662" i="1"/>
  <c r="J662" i="1"/>
  <c r="K662" i="1"/>
  <c r="L662" i="1"/>
  <c r="M662" i="1"/>
  <c r="N662" i="1"/>
  <c r="O662" i="1"/>
  <c r="W662" i="1"/>
  <c r="Y662" i="1"/>
  <c r="Z662" i="1"/>
  <c r="AA662" i="1"/>
  <c r="AC662" i="1"/>
  <c r="AE662" i="1"/>
  <c r="AF662" i="1"/>
  <c r="AG662" i="1"/>
  <c r="AK662" i="1"/>
  <c r="AS662" i="1"/>
  <c r="AT662" i="1"/>
  <c r="B663" i="1"/>
  <c r="C663" i="1"/>
  <c r="D663" i="1"/>
  <c r="E663" i="1"/>
  <c r="F663" i="1"/>
  <c r="G663" i="1"/>
  <c r="H663" i="1"/>
  <c r="I663" i="1"/>
  <c r="J663" i="1"/>
  <c r="K663" i="1"/>
  <c r="L663" i="1"/>
  <c r="M663" i="1"/>
  <c r="N663" i="1"/>
  <c r="O663" i="1"/>
  <c r="W663" i="1"/>
  <c r="Y663" i="1"/>
  <c r="Z663" i="1"/>
  <c r="AA663" i="1"/>
  <c r="AC663" i="1"/>
  <c r="AE663" i="1"/>
  <c r="AF663" i="1"/>
  <c r="AG663" i="1"/>
  <c r="AK663" i="1"/>
  <c r="AS663" i="1"/>
  <c r="AT663" i="1"/>
  <c r="B664" i="1"/>
  <c r="C664" i="1"/>
  <c r="D664" i="1"/>
  <c r="E664" i="1"/>
  <c r="F664" i="1"/>
  <c r="H664" i="1"/>
  <c r="I664" i="1"/>
  <c r="J664" i="1"/>
  <c r="K664" i="1"/>
  <c r="L664" i="1"/>
  <c r="M664" i="1"/>
  <c r="N664" i="1"/>
  <c r="O664" i="1"/>
  <c r="W664" i="1"/>
  <c r="Y664" i="1"/>
  <c r="Z664" i="1"/>
  <c r="AA664" i="1"/>
  <c r="AC664" i="1"/>
  <c r="AE664" i="1"/>
  <c r="AF664" i="1"/>
  <c r="AG664" i="1"/>
  <c r="AK664" i="1"/>
  <c r="AS664" i="1"/>
  <c r="AT664" i="1"/>
  <c r="B665" i="1"/>
  <c r="C665" i="1"/>
  <c r="D665" i="1"/>
  <c r="E665" i="1"/>
  <c r="F665" i="1"/>
  <c r="H665" i="1"/>
  <c r="I665" i="1"/>
  <c r="J665" i="1"/>
  <c r="K665" i="1"/>
  <c r="L665" i="1"/>
  <c r="M665" i="1"/>
  <c r="N665" i="1"/>
  <c r="O665" i="1"/>
  <c r="W665" i="1"/>
  <c r="Y665" i="1"/>
  <c r="Z665" i="1"/>
  <c r="AA665" i="1"/>
  <c r="AC665" i="1"/>
  <c r="AE665" i="1"/>
  <c r="AF665" i="1"/>
  <c r="AG665" i="1"/>
  <c r="AK665" i="1"/>
  <c r="AS665" i="1"/>
  <c r="AT665" i="1"/>
  <c r="B666" i="1"/>
  <c r="C666" i="1"/>
  <c r="D666" i="1"/>
  <c r="E666" i="1"/>
  <c r="F666" i="1"/>
  <c r="H666" i="1"/>
  <c r="I666" i="1"/>
  <c r="J666" i="1"/>
  <c r="K666" i="1"/>
  <c r="L666" i="1"/>
  <c r="M666" i="1"/>
  <c r="N666" i="1"/>
  <c r="O666" i="1"/>
  <c r="S666" i="1"/>
  <c r="T666" i="1"/>
  <c r="W666" i="1"/>
  <c r="Y666" i="1"/>
  <c r="Z666" i="1"/>
  <c r="AA666" i="1"/>
  <c r="AC666" i="1"/>
  <c r="AE666" i="1"/>
  <c r="AF666" i="1"/>
  <c r="AG666" i="1"/>
  <c r="AK666" i="1"/>
  <c r="AS666" i="1"/>
  <c r="AT666" i="1"/>
  <c r="B667" i="1"/>
  <c r="C667" i="1"/>
  <c r="D667" i="1"/>
  <c r="E667" i="1"/>
  <c r="F667" i="1"/>
  <c r="H667" i="1"/>
  <c r="I667" i="1"/>
  <c r="J667" i="1"/>
  <c r="K667" i="1"/>
  <c r="L667" i="1"/>
  <c r="M667" i="1"/>
  <c r="N667" i="1"/>
  <c r="O667" i="1"/>
  <c r="W667" i="1"/>
  <c r="Y667" i="1"/>
  <c r="Z667" i="1"/>
  <c r="AA667" i="1"/>
  <c r="AC667" i="1"/>
  <c r="AE667" i="1"/>
  <c r="AF667" i="1"/>
  <c r="AG667" i="1"/>
  <c r="AK667" i="1"/>
  <c r="AS667" i="1"/>
  <c r="AT667" i="1"/>
  <c r="B668" i="1"/>
  <c r="C668" i="1"/>
  <c r="D668" i="1"/>
  <c r="E668" i="1"/>
  <c r="F668" i="1"/>
  <c r="H668" i="1"/>
  <c r="I668" i="1"/>
  <c r="J668" i="1"/>
  <c r="K668" i="1"/>
  <c r="L668" i="1"/>
  <c r="M668" i="1"/>
  <c r="N668" i="1"/>
  <c r="O668" i="1"/>
  <c r="W668" i="1"/>
  <c r="Y668" i="1"/>
  <c r="Z668" i="1"/>
  <c r="AA668" i="1"/>
  <c r="AC668" i="1"/>
  <c r="AE668" i="1"/>
  <c r="AF668" i="1"/>
  <c r="AG668" i="1"/>
  <c r="AK668" i="1"/>
  <c r="AS668" i="1"/>
  <c r="AT668" i="1"/>
  <c r="B669" i="1"/>
  <c r="C669" i="1"/>
  <c r="D669" i="1"/>
  <c r="E669" i="1"/>
  <c r="F669" i="1"/>
  <c r="H669" i="1"/>
  <c r="I669" i="1"/>
  <c r="J669" i="1"/>
  <c r="K669" i="1"/>
  <c r="L669" i="1"/>
  <c r="M669" i="1"/>
  <c r="N669" i="1"/>
  <c r="O669" i="1"/>
  <c r="S669" i="1"/>
  <c r="T669" i="1"/>
  <c r="U669" i="1"/>
  <c r="W669" i="1"/>
  <c r="Y669" i="1"/>
  <c r="Z669" i="1"/>
  <c r="AA669" i="1"/>
  <c r="AC669" i="1"/>
  <c r="AE669" i="1"/>
  <c r="AF669" i="1"/>
  <c r="AG669" i="1"/>
  <c r="AK669" i="1"/>
  <c r="AS669" i="1"/>
  <c r="AT669" i="1"/>
  <c r="B670" i="1"/>
  <c r="C670" i="1"/>
  <c r="D670" i="1"/>
  <c r="E670" i="1"/>
  <c r="F670" i="1"/>
  <c r="G670" i="1"/>
  <c r="H670" i="1"/>
  <c r="I670" i="1"/>
  <c r="J670" i="1"/>
  <c r="K670" i="1"/>
  <c r="L670" i="1"/>
  <c r="M670" i="1"/>
  <c r="N670" i="1"/>
  <c r="O670" i="1"/>
  <c r="W670" i="1"/>
  <c r="Y670" i="1"/>
  <c r="Z670" i="1"/>
  <c r="AA670" i="1"/>
  <c r="AC670" i="1"/>
  <c r="AE670" i="1"/>
  <c r="AF670" i="1"/>
  <c r="AG670" i="1"/>
  <c r="AK670" i="1"/>
  <c r="AS670" i="1"/>
  <c r="AT670" i="1"/>
  <c r="B671" i="1"/>
  <c r="C671" i="1"/>
  <c r="D671" i="1"/>
  <c r="E671" i="1"/>
  <c r="F671" i="1"/>
  <c r="G671" i="1"/>
  <c r="H671" i="1"/>
  <c r="I671" i="1"/>
  <c r="J671" i="1"/>
  <c r="K671" i="1"/>
  <c r="L671" i="1"/>
  <c r="M671" i="1"/>
  <c r="N671" i="1"/>
  <c r="O671" i="1"/>
  <c r="W671" i="1"/>
  <c r="Y671" i="1"/>
  <c r="Z671" i="1"/>
  <c r="AA671" i="1"/>
  <c r="AC671" i="1"/>
  <c r="AE671" i="1"/>
  <c r="AF671" i="1"/>
  <c r="AG671" i="1"/>
  <c r="AK671" i="1"/>
  <c r="AS671" i="1"/>
  <c r="AT671" i="1"/>
  <c r="B672" i="1"/>
  <c r="C672" i="1"/>
  <c r="D672" i="1"/>
  <c r="E672" i="1"/>
  <c r="F672" i="1"/>
  <c r="H672" i="1"/>
  <c r="I672" i="1"/>
  <c r="J672" i="1"/>
  <c r="K672" i="1"/>
  <c r="L672" i="1"/>
  <c r="M672" i="1"/>
  <c r="N672" i="1"/>
  <c r="O672" i="1"/>
  <c r="S672" i="1"/>
  <c r="T672" i="1"/>
  <c r="U672" i="1"/>
  <c r="W672" i="1"/>
  <c r="Y672" i="1"/>
  <c r="Z672" i="1"/>
  <c r="AA672" i="1"/>
  <c r="AC672" i="1"/>
  <c r="AE672" i="1"/>
  <c r="AF672" i="1"/>
  <c r="AG672" i="1"/>
  <c r="AK672" i="1"/>
  <c r="AS672" i="1"/>
  <c r="AT672" i="1"/>
  <c r="B673" i="1"/>
  <c r="C673" i="1"/>
  <c r="D673" i="1"/>
  <c r="E673" i="1"/>
  <c r="F673" i="1"/>
  <c r="G673" i="1"/>
  <c r="H673" i="1"/>
  <c r="I673" i="1"/>
  <c r="J673" i="1"/>
  <c r="K673" i="1"/>
  <c r="L673" i="1"/>
  <c r="M673" i="1"/>
  <c r="N673" i="1"/>
  <c r="O673" i="1"/>
  <c r="W673" i="1"/>
  <c r="Y673" i="1"/>
  <c r="Z673" i="1"/>
  <c r="AA673" i="1"/>
  <c r="AC673" i="1"/>
  <c r="AE673" i="1"/>
  <c r="AF673" i="1"/>
  <c r="AG673" i="1"/>
  <c r="AK673" i="1"/>
  <c r="AS673" i="1"/>
  <c r="AT673" i="1"/>
  <c r="B674" i="1"/>
  <c r="C674" i="1"/>
  <c r="D674" i="1"/>
  <c r="E674" i="1"/>
  <c r="F674" i="1"/>
  <c r="G674" i="1"/>
  <c r="H674" i="1"/>
  <c r="I674" i="1"/>
  <c r="J674" i="1"/>
  <c r="K674" i="1"/>
  <c r="L674" i="1"/>
  <c r="M674" i="1"/>
  <c r="N674" i="1"/>
  <c r="O674" i="1"/>
  <c r="W674" i="1"/>
  <c r="Y674" i="1"/>
  <c r="Z674" i="1"/>
  <c r="AA674" i="1"/>
  <c r="AC674" i="1"/>
  <c r="AE674" i="1"/>
  <c r="AF674" i="1"/>
  <c r="AG674" i="1"/>
  <c r="AK674" i="1"/>
  <c r="AS674" i="1"/>
  <c r="AT674" i="1"/>
  <c r="B675" i="1"/>
  <c r="C675" i="1"/>
  <c r="D675" i="1"/>
  <c r="E675" i="1"/>
  <c r="F675" i="1"/>
  <c r="G675" i="1"/>
  <c r="H675" i="1"/>
  <c r="I675" i="1"/>
  <c r="J675" i="1"/>
  <c r="K675" i="1"/>
  <c r="L675" i="1"/>
  <c r="M675" i="1"/>
  <c r="N675" i="1"/>
  <c r="O675" i="1"/>
  <c r="W675" i="1"/>
  <c r="Y675" i="1"/>
  <c r="Z675" i="1"/>
  <c r="AA675" i="1"/>
  <c r="AC675" i="1"/>
  <c r="AE675" i="1"/>
  <c r="AF675" i="1"/>
  <c r="AG675" i="1"/>
  <c r="AK675" i="1"/>
  <c r="AS675" i="1"/>
  <c r="AT675" i="1"/>
  <c r="B676" i="1"/>
  <c r="C676" i="1"/>
  <c r="D676" i="1"/>
  <c r="E676" i="1"/>
  <c r="F676" i="1"/>
  <c r="G676" i="1"/>
  <c r="H676" i="1"/>
  <c r="I676" i="1"/>
  <c r="J676" i="1"/>
  <c r="K676" i="1"/>
  <c r="L676" i="1"/>
  <c r="M676" i="1"/>
  <c r="N676" i="1"/>
  <c r="O676" i="1"/>
  <c r="W676" i="1"/>
  <c r="Y676" i="1"/>
  <c r="Z676" i="1"/>
  <c r="AA676" i="1"/>
  <c r="AC676" i="1"/>
  <c r="AE676" i="1"/>
  <c r="AF676" i="1"/>
  <c r="AG676" i="1"/>
  <c r="AK676" i="1"/>
  <c r="AS676" i="1"/>
  <c r="AT676" i="1"/>
  <c r="B677" i="1"/>
  <c r="C677" i="1"/>
  <c r="D677" i="1"/>
  <c r="E677" i="1"/>
  <c r="F677" i="1"/>
  <c r="H677" i="1"/>
  <c r="I677" i="1"/>
  <c r="J677" i="1"/>
  <c r="K677" i="1"/>
  <c r="L677" i="1"/>
  <c r="M677" i="1"/>
  <c r="N677" i="1"/>
  <c r="O677" i="1"/>
  <c r="W677" i="1"/>
  <c r="Y677" i="1"/>
  <c r="Z677" i="1"/>
  <c r="AA677" i="1"/>
  <c r="AC677" i="1"/>
  <c r="AE677" i="1"/>
  <c r="AF677" i="1"/>
  <c r="AG677" i="1"/>
  <c r="AK677" i="1"/>
  <c r="AS677" i="1"/>
  <c r="AT677" i="1"/>
  <c r="B678" i="1"/>
  <c r="C678" i="1"/>
  <c r="D678" i="1"/>
  <c r="E678" i="1"/>
  <c r="F678" i="1"/>
  <c r="H678" i="1"/>
  <c r="I678" i="1"/>
  <c r="J678" i="1"/>
  <c r="K678" i="1"/>
  <c r="L678" i="1"/>
  <c r="M678" i="1"/>
  <c r="N678" i="1"/>
  <c r="O678" i="1"/>
  <c r="W678" i="1"/>
  <c r="Y678" i="1"/>
  <c r="Z678" i="1"/>
  <c r="AA678" i="1"/>
  <c r="AC678" i="1"/>
  <c r="AE678" i="1"/>
  <c r="AF678" i="1"/>
  <c r="AG678" i="1"/>
  <c r="AK678" i="1"/>
  <c r="AS678" i="1"/>
  <c r="AT678" i="1"/>
  <c r="B679" i="1"/>
  <c r="C679" i="1"/>
  <c r="D679" i="1"/>
  <c r="E679" i="1"/>
  <c r="F679" i="1"/>
  <c r="H679" i="1"/>
  <c r="I679" i="1"/>
  <c r="J679" i="1"/>
  <c r="K679" i="1"/>
  <c r="L679" i="1"/>
  <c r="M679" i="1"/>
  <c r="N679" i="1"/>
  <c r="O679" i="1"/>
  <c r="W679" i="1"/>
  <c r="Y679" i="1"/>
  <c r="Z679" i="1"/>
  <c r="AA679" i="1"/>
  <c r="AC679" i="1"/>
  <c r="AE679" i="1"/>
  <c r="AF679" i="1"/>
  <c r="AG679" i="1"/>
  <c r="AK679" i="1"/>
  <c r="AS679" i="1"/>
  <c r="AT679" i="1"/>
  <c r="B680" i="1"/>
  <c r="C680" i="1"/>
  <c r="D680" i="1"/>
  <c r="E680" i="1"/>
  <c r="F680" i="1"/>
  <c r="H680" i="1"/>
  <c r="I680" i="1"/>
  <c r="J680" i="1"/>
  <c r="K680" i="1"/>
  <c r="L680" i="1"/>
  <c r="M680" i="1"/>
  <c r="N680" i="1"/>
  <c r="O680" i="1"/>
  <c r="W680" i="1"/>
  <c r="Y680" i="1"/>
  <c r="Z680" i="1"/>
  <c r="AA680" i="1"/>
  <c r="AC680" i="1"/>
  <c r="AE680" i="1"/>
  <c r="AF680" i="1"/>
  <c r="AG680" i="1"/>
  <c r="AK680" i="1"/>
  <c r="AS680" i="1"/>
  <c r="AT680" i="1"/>
  <c r="B681" i="1"/>
  <c r="C681" i="1"/>
  <c r="D681" i="1"/>
  <c r="E681" i="1"/>
  <c r="F681" i="1"/>
  <c r="H681" i="1"/>
  <c r="I681" i="1"/>
  <c r="J681" i="1"/>
  <c r="K681" i="1"/>
  <c r="L681" i="1"/>
  <c r="M681" i="1"/>
  <c r="N681" i="1"/>
  <c r="O681" i="1"/>
  <c r="W681" i="1"/>
  <c r="Y681" i="1"/>
  <c r="Z681" i="1"/>
  <c r="AA681" i="1"/>
  <c r="AC681" i="1"/>
  <c r="AE681" i="1"/>
  <c r="AF681" i="1"/>
  <c r="AG681" i="1"/>
  <c r="AK681" i="1"/>
  <c r="AS681" i="1"/>
  <c r="AT681" i="1"/>
  <c r="B682" i="1"/>
  <c r="C682" i="1"/>
  <c r="D682" i="1"/>
  <c r="E682" i="1"/>
  <c r="F682" i="1"/>
  <c r="H682" i="1"/>
  <c r="I682" i="1"/>
  <c r="J682" i="1"/>
  <c r="K682" i="1"/>
  <c r="L682" i="1"/>
  <c r="M682" i="1"/>
  <c r="N682" i="1"/>
  <c r="O682" i="1"/>
  <c r="W682" i="1"/>
  <c r="Y682" i="1"/>
  <c r="Z682" i="1"/>
  <c r="AA682" i="1"/>
  <c r="AC682" i="1"/>
  <c r="AE682" i="1"/>
  <c r="AF682" i="1"/>
  <c r="AG682" i="1"/>
  <c r="AK682" i="1"/>
  <c r="AS682" i="1"/>
  <c r="AT682" i="1"/>
  <c r="B683" i="1"/>
  <c r="C683" i="1"/>
  <c r="D683" i="1"/>
  <c r="E683" i="1"/>
  <c r="F683" i="1"/>
  <c r="G683" i="1"/>
  <c r="H683" i="1"/>
  <c r="I683" i="1"/>
  <c r="J683" i="1"/>
  <c r="K683" i="1"/>
  <c r="L683" i="1"/>
  <c r="M683" i="1"/>
  <c r="N683" i="1"/>
  <c r="O683" i="1"/>
  <c r="W683" i="1"/>
  <c r="Y683" i="1"/>
  <c r="Z683" i="1"/>
  <c r="AA683" i="1"/>
  <c r="AC683" i="1"/>
  <c r="AE683" i="1"/>
  <c r="AF683" i="1"/>
  <c r="AG683" i="1"/>
  <c r="AK683" i="1"/>
  <c r="AS683" i="1"/>
  <c r="AT683" i="1"/>
  <c r="B684" i="1"/>
  <c r="C684" i="1"/>
  <c r="D684" i="1"/>
  <c r="E684" i="1"/>
  <c r="F684" i="1"/>
  <c r="H684" i="1"/>
  <c r="I684" i="1"/>
  <c r="J684" i="1"/>
  <c r="K684" i="1"/>
  <c r="L684" i="1"/>
  <c r="M684" i="1"/>
  <c r="N684" i="1"/>
  <c r="O684" i="1"/>
  <c r="W684" i="1"/>
  <c r="Y684" i="1"/>
  <c r="Z684" i="1"/>
  <c r="AA684" i="1"/>
  <c r="AC684" i="1"/>
  <c r="AE684" i="1"/>
  <c r="AF684" i="1"/>
  <c r="AG684" i="1"/>
  <c r="AK684" i="1"/>
  <c r="AS684" i="1"/>
  <c r="AT684" i="1"/>
  <c r="B685" i="1"/>
  <c r="C685" i="1"/>
  <c r="D685" i="1"/>
  <c r="E685" i="1"/>
  <c r="F685" i="1"/>
  <c r="H685" i="1"/>
  <c r="I685" i="1"/>
  <c r="J685" i="1"/>
  <c r="K685" i="1"/>
  <c r="L685" i="1"/>
  <c r="M685" i="1"/>
  <c r="N685" i="1"/>
  <c r="O685" i="1"/>
  <c r="W685" i="1"/>
  <c r="Y685" i="1"/>
  <c r="Z685" i="1"/>
  <c r="AA685" i="1"/>
  <c r="AC685" i="1"/>
  <c r="AE685" i="1"/>
  <c r="AF685" i="1"/>
  <c r="AG685" i="1"/>
  <c r="AK685" i="1"/>
  <c r="AS685" i="1"/>
  <c r="AT685" i="1"/>
  <c r="B686" i="1"/>
  <c r="C686" i="1"/>
  <c r="D686" i="1"/>
  <c r="E686" i="1"/>
  <c r="F686" i="1"/>
  <c r="H686" i="1"/>
  <c r="I686" i="1"/>
  <c r="J686" i="1"/>
  <c r="K686" i="1"/>
  <c r="L686" i="1"/>
  <c r="M686" i="1"/>
  <c r="N686" i="1"/>
  <c r="O686" i="1"/>
  <c r="W686" i="1"/>
  <c r="Y686" i="1"/>
  <c r="Z686" i="1"/>
  <c r="AA686" i="1"/>
  <c r="AC686" i="1"/>
  <c r="AE686" i="1"/>
  <c r="AF686" i="1"/>
  <c r="AG686" i="1"/>
  <c r="AK686" i="1"/>
  <c r="AS686" i="1"/>
  <c r="AT686" i="1"/>
  <c r="B687" i="1"/>
  <c r="C687" i="1"/>
  <c r="D687" i="1"/>
  <c r="E687" i="1"/>
  <c r="F687" i="1"/>
  <c r="G687" i="1"/>
  <c r="H687" i="1"/>
  <c r="I687" i="1"/>
  <c r="J687" i="1"/>
  <c r="K687" i="1"/>
  <c r="L687" i="1"/>
  <c r="M687" i="1"/>
  <c r="N687" i="1"/>
  <c r="O687" i="1"/>
  <c r="W687" i="1"/>
  <c r="Y687" i="1"/>
  <c r="Z687" i="1"/>
  <c r="AA687" i="1"/>
  <c r="AC687" i="1"/>
  <c r="AE687" i="1"/>
  <c r="AF687" i="1"/>
  <c r="AG687" i="1"/>
  <c r="AK687" i="1"/>
  <c r="AS687" i="1"/>
  <c r="AT687" i="1"/>
  <c r="B688" i="1"/>
  <c r="C688" i="1"/>
  <c r="D688" i="1"/>
  <c r="E688" i="1"/>
  <c r="F688" i="1"/>
  <c r="H688" i="1"/>
  <c r="I688" i="1"/>
  <c r="J688" i="1"/>
  <c r="K688" i="1"/>
  <c r="L688" i="1"/>
  <c r="M688" i="1"/>
  <c r="N688" i="1"/>
  <c r="O688" i="1"/>
  <c r="W688" i="1"/>
  <c r="Y688" i="1"/>
  <c r="Z688" i="1"/>
  <c r="AA688" i="1"/>
  <c r="AC688" i="1"/>
  <c r="AE688" i="1"/>
  <c r="AF688" i="1"/>
  <c r="AG688" i="1"/>
  <c r="AK688" i="1"/>
  <c r="AS688" i="1"/>
  <c r="AT688" i="1"/>
  <c r="B689" i="1"/>
  <c r="C689" i="1"/>
  <c r="D689" i="1"/>
  <c r="E689" i="1"/>
  <c r="F689" i="1"/>
  <c r="H689" i="1"/>
  <c r="I689" i="1"/>
  <c r="J689" i="1"/>
  <c r="K689" i="1"/>
  <c r="L689" i="1"/>
  <c r="M689" i="1"/>
  <c r="N689" i="1"/>
  <c r="O689" i="1"/>
  <c r="W689" i="1"/>
  <c r="Y689" i="1"/>
  <c r="Z689" i="1"/>
  <c r="AA689" i="1"/>
  <c r="AC689" i="1"/>
  <c r="AE689" i="1"/>
  <c r="AF689" i="1"/>
  <c r="AG689" i="1"/>
  <c r="AK689" i="1"/>
  <c r="AS689" i="1"/>
  <c r="AT689" i="1"/>
  <c r="B690" i="1"/>
  <c r="C690" i="1"/>
  <c r="D690" i="1"/>
  <c r="E690" i="1"/>
  <c r="F690" i="1"/>
  <c r="H690" i="1"/>
  <c r="I690" i="1"/>
  <c r="J690" i="1"/>
  <c r="K690" i="1"/>
  <c r="L690" i="1"/>
  <c r="M690" i="1"/>
  <c r="N690" i="1"/>
  <c r="O690" i="1"/>
  <c r="S690" i="1"/>
  <c r="T690" i="1"/>
  <c r="U690" i="1"/>
  <c r="W690" i="1"/>
  <c r="Y690" i="1"/>
  <c r="Z690" i="1"/>
  <c r="AA690" i="1"/>
  <c r="AC690" i="1"/>
  <c r="AE690" i="1"/>
  <c r="AF690" i="1"/>
  <c r="AG690" i="1"/>
  <c r="AK690" i="1"/>
  <c r="AS690" i="1"/>
  <c r="AT690" i="1"/>
  <c r="B691" i="1"/>
  <c r="C691" i="1"/>
  <c r="D691" i="1"/>
  <c r="E691" i="1"/>
  <c r="F691" i="1"/>
  <c r="H691" i="1"/>
  <c r="I691" i="1"/>
  <c r="J691" i="1"/>
  <c r="K691" i="1"/>
  <c r="L691" i="1"/>
  <c r="M691" i="1"/>
  <c r="N691" i="1"/>
  <c r="O691" i="1"/>
  <c r="W691" i="1"/>
  <c r="Y691" i="1"/>
  <c r="Z691" i="1"/>
  <c r="AA691" i="1"/>
  <c r="AC691" i="1"/>
  <c r="AE691" i="1"/>
  <c r="AF691" i="1"/>
  <c r="AG691" i="1"/>
  <c r="AK691" i="1"/>
  <c r="AS691" i="1"/>
  <c r="AT691" i="1"/>
  <c r="B692" i="1"/>
  <c r="C692" i="1"/>
  <c r="D692" i="1"/>
  <c r="E692" i="1"/>
  <c r="F692" i="1"/>
  <c r="H692" i="1"/>
  <c r="I692" i="1"/>
  <c r="J692" i="1"/>
  <c r="K692" i="1"/>
  <c r="L692" i="1"/>
  <c r="M692" i="1"/>
  <c r="N692" i="1"/>
  <c r="O692" i="1"/>
  <c r="W692" i="1"/>
  <c r="Y692" i="1"/>
  <c r="Z692" i="1"/>
  <c r="AA692" i="1"/>
  <c r="AC692" i="1"/>
  <c r="AE692" i="1"/>
  <c r="AF692" i="1"/>
  <c r="AG692" i="1"/>
  <c r="AK692" i="1"/>
  <c r="AS692" i="1"/>
  <c r="AT692" i="1"/>
  <c r="B693" i="1"/>
  <c r="C693" i="1"/>
  <c r="D693" i="1"/>
  <c r="E693" i="1"/>
  <c r="F693" i="1"/>
  <c r="H693" i="1"/>
  <c r="I693" i="1"/>
  <c r="J693" i="1"/>
  <c r="K693" i="1"/>
  <c r="L693" i="1"/>
  <c r="M693" i="1"/>
  <c r="N693" i="1"/>
  <c r="O693" i="1"/>
  <c r="W693" i="1"/>
  <c r="Y693" i="1"/>
  <c r="Z693" i="1"/>
  <c r="AA693" i="1"/>
  <c r="AC693" i="1"/>
  <c r="AE693" i="1"/>
  <c r="AF693" i="1"/>
  <c r="AG693" i="1"/>
  <c r="AK693" i="1"/>
  <c r="AS693" i="1"/>
  <c r="AT693" i="1"/>
  <c r="B694" i="1"/>
  <c r="C694" i="1"/>
  <c r="D694" i="1"/>
  <c r="E694" i="1"/>
  <c r="F694" i="1"/>
  <c r="G694" i="1"/>
  <c r="H694" i="1"/>
  <c r="I694" i="1"/>
  <c r="J694" i="1"/>
  <c r="K694" i="1"/>
  <c r="L694" i="1"/>
  <c r="M694" i="1"/>
  <c r="N694" i="1"/>
  <c r="O694" i="1"/>
  <c r="W694" i="1"/>
  <c r="Y694" i="1"/>
  <c r="Z694" i="1"/>
  <c r="AA694" i="1"/>
  <c r="AC694" i="1"/>
  <c r="AE694" i="1"/>
  <c r="AF694" i="1"/>
  <c r="AG694" i="1"/>
  <c r="AK694" i="1"/>
  <c r="AS694" i="1"/>
  <c r="AT694" i="1"/>
  <c r="B695" i="1"/>
  <c r="C695" i="1"/>
  <c r="D695" i="1"/>
  <c r="E695" i="1"/>
  <c r="F695" i="1"/>
  <c r="G695" i="1"/>
  <c r="H695" i="1"/>
  <c r="I695" i="1"/>
  <c r="J695" i="1"/>
  <c r="K695" i="1"/>
  <c r="L695" i="1"/>
  <c r="M695" i="1"/>
  <c r="N695" i="1"/>
  <c r="O695" i="1"/>
  <c r="W695" i="1"/>
  <c r="Y695" i="1"/>
  <c r="Z695" i="1"/>
  <c r="AA695" i="1"/>
  <c r="AC695" i="1"/>
  <c r="AE695" i="1"/>
  <c r="AF695" i="1"/>
  <c r="AG695" i="1"/>
  <c r="AK695" i="1"/>
  <c r="AS695" i="1"/>
  <c r="AT695" i="1"/>
  <c r="B696" i="1"/>
  <c r="C696" i="1"/>
  <c r="D696" i="1"/>
  <c r="E696" i="1"/>
  <c r="F696" i="1"/>
  <c r="H696" i="1"/>
  <c r="I696" i="1"/>
  <c r="J696" i="1"/>
  <c r="K696" i="1"/>
  <c r="L696" i="1"/>
  <c r="M696" i="1"/>
  <c r="N696" i="1"/>
  <c r="O696" i="1"/>
  <c r="W696" i="1"/>
  <c r="Y696" i="1"/>
  <c r="Z696" i="1"/>
  <c r="AA696" i="1"/>
  <c r="AC696" i="1"/>
  <c r="AE696" i="1"/>
  <c r="AF696" i="1"/>
  <c r="AG696" i="1"/>
  <c r="AK696" i="1"/>
  <c r="AS696" i="1"/>
  <c r="AT696" i="1"/>
  <c r="B697" i="1"/>
  <c r="C697" i="1"/>
  <c r="D697" i="1"/>
  <c r="E697" i="1"/>
  <c r="F697" i="1"/>
  <c r="G697" i="1"/>
  <c r="H697" i="1"/>
  <c r="I697" i="1"/>
  <c r="J697" i="1"/>
  <c r="K697" i="1"/>
  <c r="L697" i="1"/>
  <c r="M697" i="1"/>
  <c r="N697" i="1"/>
  <c r="O697" i="1"/>
  <c r="W697" i="1"/>
  <c r="Y697" i="1"/>
  <c r="Z697" i="1"/>
  <c r="AA697" i="1"/>
  <c r="AC697" i="1"/>
  <c r="AE697" i="1"/>
  <c r="AF697" i="1"/>
  <c r="AG697" i="1"/>
  <c r="AK697" i="1"/>
  <c r="AS697" i="1"/>
  <c r="AT697" i="1"/>
  <c r="B698" i="1"/>
  <c r="C698" i="1"/>
  <c r="D698" i="1"/>
  <c r="E698" i="1"/>
  <c r="F698" i="1"/>
  <c r="G698" i="1"/>
  <c r="H698" i="1"/>
  <c r="I698" i="1"/>
  <c r="J698" i="1"/>
  <c r="K698" i="1"/>
  <c r="L698" i="1"/>
  <c r="M698" i="1"/>
  <c r="N698" i="1"/>
  <c r="O698" i="1"/>
  <c r="W698" i="1"/>
  <c r="Y698" i="1"/>
  <c r="Z698" i="1"/>
  <c r="AA698" i="1"/>
  <c r="AC698" i="1"/>
  <c r="AE698" i="1"/>
  <c r="AF698" i="1"/>
  <c r="AG698" i="1"/>
  <c r="AK698" i="1"/>
  <c r="AS698" i="1"/>
  <c r="AT698" i="1"/>
  <c r="B699" i="1"/>
  <c r="C699" i="1"/>
  <c r="D699" i="1"/>
  <c r="E699" i="1"/>
  <c r="F699" i="1"/>
  <c r="G699" i="1"/>
  <c r="H699" i="1"/>
  <c r="I699" i="1"/>
  <c r="J699" i="1"/>
  <c r="K699" i="1"/>
  <c r="L699" i="1"/>
  <c r="M699" i="1"/>
  <c r="N699" i="1"/>
  <c r="O699" i="1"/>
  <c r="W699" i="1"/>
  <c r="Y699" i="1"/>
  <c r="Z699" i="1"/>
  <c r="AA699" i="1"/>
  <c r="AC699" i="1"/>
  <c r="AE699" i="1"/>
  <c r="AF699" i="1"/>
  <c r="AG699" i="1"/>
  <c r="AK699" i="1"/>
  <c r="AS699" i="1"/>
  <c r="AT699" i="1"/>
  <c r="B700" i="1"/>
  <c r="C700" i="1"/>
  <c r="D700" i="1"/>
  <c r="E700" i="1"/>
  <c r="F700" i="1"/>
  <c r="H700" i="1"/>
  <c r="I700" i="1"/>
  <c r="J700" i="1"/>
  <c r="K700" i="1"/>
  <c r="L700" i="1"/>
  <c r="M700" i="1"/>
  <c r="N700" i="1"/>
  <c r="O700" i="1"/>
  <c r="W700" i="1"/>
  <c r="Y700" i="1"/>
  <c r="Z700" i="1"/>
  <c r="AA700" i="1"/>
  <c r="AC700" i="1"/>
  <c r="AE700" i="1"/>
  <c r="AF700" i="1"/>
  <c r="AG700" i="1"/>
  <c r="AK700" i="1"/>
  <c r="AS700" i="1"/>
  <c r="AT700" i="1"/>
  <c r="B701" i="1"/>
  <c r="C701" i="1"/>
  <c r="D701" i="1"/>
  <c r="E701" i="1"/>
  <c r="F701" i="1"/>
  <c r="H701" i="1"/>
  <c r="I701" i="1"/>
  <c r="J701" i="1"/>
  <c r="K701" i="1"/>
  <c r="L701" i="1"/>
  <c r="M701" i="1"/>
  <c r="N701" i="1"/>
  <c r="O701" i="1"/>
  <c r="W701" i="1"/>
  <c r="Y701" i="1"/>
  <c r="Z701" i="1"/>
  <c r="AA701" i="1"/>
  <c r="AC701" i="1"/>
  <c r="AE701" i="1"/>
  <c r="AF701" i="1"/>
  <c r="AG701" i="1"/>
  <c r="AK701" i="1"/>
  <c r="AS701" i="1"/>
  <c r="AT701" i="1"/>
  <c r="B702" i="1"/>
  <c r="C702" i="1"/>
  <c r="D702" i="1"/>
  <c r="E702" i="1"/>
  <c r="F702" i="1"/>
  <c r="H702" i="1"/>
  <c r="I702" i="1"/>
  <c r="J702" i="1"/>
  <c r="K702" i="1"/>
  <c r="L702" i="1"/>
  <c r="M702" i="1"/>
  <c r="N702" i="1"/>
  <c r="O702" i="1"/>
  <c r="W702" i="1"/>
  <c r="Y702" i="1"/>
  <c r="Z702" i="1"/>
  <c r="AA702" i="1"/>
  <c r="AC702" i="1"/>
  <c r="AE702" i="1"/>
  <c r="AF702" i="1"/>
  <c r="AG702" i="1"/>
  <c r="AK702" i="1"/>
  <c r="AS702" i="1"/>
  <c r="AT702" i="1"/>
  <c r="B703" i="1"/>
  <c r="C703" i="1"/>
  <c r="D703" i="1"/>
  <c r="E703" i="1"/>
  <c r="F703" i="1"/>
  <c r="H703" i="1"/>
  <c r="I703" i="1"/>
  <c r="J703" i="1"/>
  <c r="K703" i="1"/>
  <c r="L703" i="1"/>
  <c r="M703" i="1"/>
  <c r="N703" i="1"/>
  <c r="O703" i="1"/>
  <c r="W703" i="1"/>
  <c r="Y703" i="1"/>
  <c r="Z703" i="1"/>
  <c r="AA703" i="1"/>
  <c r="AC703" i="1"/>
  <c r="AE703" i="1"/>
  <c r="AF703" i="1"/>
  <c r="AG703" i="1"/>
  <c r="AK703" i="1"/>
  <c r="AS703" i="1"/>
  <c r="AT703" i="1"/>
  <c r="B704" i="1"/>
  <c r="C704" i="1"/>
  <c r="D704" i="1"/>
  <c r="E704" i="1"/>
  <c r="F704" i="1"/>
  <c r="H704" i="1"/>
  <c r="I704" i="1"/>
  <c r="J704" i="1"/>
  <c r="K704" i="1"/>
  <c r="L704" i="1"/>
  <c r="M704" i="1"/>
  <c r="N704" i="1"/>
  <c r="O704" i="1"/>
  <c r="S704" i="1"/>
  <c r="T704" i="1"/>
  <c r="U704" i="1"/>
  <c r="W704" i="1"/>
  <c r="Y704" i="1"/>
  <c r="Z704" i="1"/>
  <c r="AA704" i="1"/>
  <c r="AC704" i="1"/>
  <c r="AE704" i="1"/>
  <c r="AF704" i="1"/>
  <c r="AG704" i="1"/>
  <c r="AK704" i="1"/>
  <c r="AS704" i="1"/>
  <c r="AT704" i="1"/>
  <c r="B705" i="1"/>
  <c r="C705" i="1"/>
  <c r="D705" i="1"/>
  <c r="E705" i="1"/>
  <c r="F705" i="1"/>
  <c r="H705" i="1"/>
  <c r="I705" i="1"/>
  <c r="J705" i="1"/>
  <c r="K705" i="1"/>
  <c r="L705" i="1"/>
  <c r="M705" i="1"/>
  <c r="N705" i="1"/>
  <c r="O705" i="1"/>
  <c r="W705" i="1"/>
  <c r="Y705" i="1"/>
  <c r="Z705" i="1"/>
  <c r="AA705" i="1"/>
  <c r="AC705" i="1"/>
  <c r="AE705" i="1"/>
  <c r="AF705" i="1"/>
  <c r="AG705" i="1"/>
  <c r="AK705" i="1"/>
  <c r="AS705" i="1"/>
  <c r="AT705" i="1"/>
  <c r="B706" i="1"/>
  <c r="C706" i="1"/>
  <c r="D706" i="1"/>
  <c r="E706" i="1"/>
  <c r="F706" i="1"/>
  <c r="G706" i="1"/>
  <c r="H706" i="1"/>
  <c r="I706" i="1"/>
  <c r="J706" i="1"/>
  <c r="K706" i="1"/>
  <c r="L706" i="1"/>
  <c r="M706" i="1"/>
  <c r="N706" i="1"/>
  <c r="O706" i="1"/>
  <c r="S706" i="1"/>
  <c r="T706" i="1"/>
  <c r="U706" i="1"/>
  <c r="W706" i="1"/>
  <c r="Y706" i="1"/>
  <c r="Z706" i="1"/>
  <c r="AA706" i="1"/>
  <c r="AC706" i="1"/>
  <c r="AE706" i="1"/>
  <c r="AF706" i="1"/>
  <c r="AG706" i="1"/>
  <c r="AK706" i="1"/>
  <c r="AS706" i="1"/>
  <c r="AT706" i="1"/>
  <c r="B707" i="1"/>
  <c r="C707" i="1"/>
  <c r="D707" i="1"/>
  <c r="E707" i="1"/>
  <c r="F707" i="1"/>
  <c r="G707" i="1"/>
  <c r="H707" i="1"/>
  <c r="I707" i="1"/>
  <c r="J707" i="1"/>
  <c r="K707" i="1"/>
  <c r="L707" i="1"/>
  <c r="M707" i="1"/>
  <c r="N707" i="1"/>
  <c r="O707" i="1"/>
  <c r="W707" i="1"/>
  <c r="Y707" i="1"/>
  <c r="Z707" i="1"/>
  <c r="AA707" i="1"/>
  <c r="AC707" i="1"/>
  <c r="AE707" i="1"/>
  <c r="AF707" i="1"/>
  <c r="AG707" i="1"/>
  <c r="AK707" i="1"/>
  <c r="AS707" i="1"/>
  <c r="AT707" i="1"/>
  <c r="B708" i="1"/>
  <c r="C708" i="1"/>
  <c r="D708" i="1"/>
  <c r="E708" i="1"/>
  <c r="F708" i="1"/>
  <c r="G708" i="1"/>
  <c r="H708" i="1"/>
  <c r="I708" i="1"/>
  <c r="J708" i="1"/>
  <c r="K708" i="1"/>
  <c r="L708" i="1"/>
  <c r="M708" i="1"/>
  <c r="N708" i="1"/>
  <c r="O708" i="1"/>
  <c r="W708" i="1"/>
  <c r="Y708" i="1"/>
  <c r="Z708" i="1"/>
  <c r="AA708" i="1"/>
  <c r="AC708" i="1"/>
  <c r="AE708" i="1"/>
  <c r="AF708" i="1"/>
  <c r="AG708" i="1"/>
  <c r="AK708" i="1"/>
  <c r="AS708" i="1"/>
  <c r="AT708" i="1"/>
  <c r="B709" i="1"/>
  <c r="C709" i="1"/>
  <c r="D709" i="1"/>
  <c r="E709" i="1"/>
  <c r="F709" i="1"/>
  <c r="H709" i="1"/>
  <c r="I709" i="1"/>
  <c r="J709" i="1"/>
  <c r="K709" i="1"/>
  <c r="L709" i="1"/>
  <c r="M709" i="1"/>
  <c r="N709" i="1"/>
  <c r="O709" i="1"/>
  <c r="W709" i="1"/>
  <c r="Y709" i="1"/>
  <c r="Z709" i="1"/>
  <c r="AA709" i="1"/>
  <c r="AC709" i="1"/>
  <c r="AE709" i="1"/>
  <c r="AF709" i="1"/>
  <c r="AG709" i="1"/>
  <c r="AK709" i="1"/>
  <c r="AS709" i="1"/>
  <c r="AT709" i="1"/>
  <c r="B710" i="1"/>
  <c r="C710" i="1"/>
  <c r="D710" i="1"/>
  <c r="E710" i="1"/>
  <c r="F710" i="1"/>
  <c r="G710" i="1"/>
  <c r="H710" i="1"/>
  <c r="I710" i="1"/>
  <c r="J710" i="1"/>
  <c r="K710" i="1"/>
  <c r="L710" i="1"/>
  <c r="M710" i="1"/>
  <c r="N710" i="1"/>
  <c r="O710" i="1"/>
  <c r="W710" i="1"/>
  <c r="Y710" i="1"/>
  <c r="Z710" i="1"/>
  <c r="AA710" i="1"/>
  <c r="AC710" i="1"/>
  <c r="AE710" i="1"/>
  <c r="AF710" i="1"/>
  <c r="AG710" i="1"/>
  <c r="AK710" i="1"/>
  <c r="AS710" i="1"/>
  <c r="AT710" i="1"/>
  <c r="B711" i="1"/>
  <c r="C711" i="1"/>
  <c r="D711" i="1"/>
  <c r="E711" i="1"/>
  <c r="F711" i="1"/>
  <c r="H711" i="1"/>
  <c r="I711" i="1"/>
  <c r="J711" i="1"/>
  <c r="K711" i="1"/>
  <c r="L711" i="1"/>
  <c r="M711" i="1"/>
  <c r="N711" i="1"/>
  <c r="O711" i="1"/>
  <c r="W711" i="1"/>
  <c r="Y711" i="1"/>
  <c r="Z711" i="1"/>
  <c r="AA711" i="1"/>
  <c r="AC711" i="1"/>
  <c r="AE711" i="1"/>
  <c r="AF711" i="1"/>
  <c r="AG711" i="1"/>
  <c r="AK711" i="1"/>
  <c r="AS711" i="1"/>
  <c r="AT711" i="1"/>
  <c r="B712" i="1"/>
  <c r="C712" i="1"/>
  <c r="D712" i="1"/>
  <c r="E712" i="1"/>
  <c r="F712" i="1"/>
  <c r="H712" i="1"/>
  <c r="I712" i="1"/>
  <c r="J712" i="1"/>
  <c r="K712" i="1"/>
  <c r="L712" i="1"/>
  <c r="M712" i="1"/>
  <c r="N712" i="1"/>
  <c r="O712" i="1"/>
  <c r="W712" i="1"/>
  <c r="Y712" i="1"/>
  <c r="Z712" i="1"/>
  <c r="AA712" i="1"/>
  <c r="AC712" i="1"/>
  <c r="AE712" i="1"/>
  <c r="AF712" i="1"/>
  <c r="AG712" i="1"/>
  <c r="AK712" i="1"/>
  <c r="AS712" i="1"/>
  <c r="AT712" i="1"/>
  <c r="B713" i="1"/>
  <c r="C713" i="1"/>
  <c r="D713" i="1"/>
  <c r="E713" i="1"/>
  <c r="F713" i="1"/>
  <c r="G713" i="1"/>
  <c r="H713" i="1"/>
  <c r="I713" i="1"/>
  <c r="J713" i="1"/>
  <c r="K713" i="1"/>
  <c r="L713" i="1"/>
  <c r="M713" i="1"/>
  <c r="N713" i="1"/>
  <c r="O713" i="1"/>
  <c r="W713" i="1"/>
  <c r="Y713" i="1"/>
  <c r="Z713" i="1"/>
  <c r="AA713" i="1"/>
  <c r="AC713" i="1"/>
  <c r="AE713" i="1"/>
  <c r="AF713" i="1"/>
  <c r="AG713" i="1"/>
  <c r="AK713" i="1"/>
  <c r="AS713" i="1"/>
  <c r="AT713" i="1"/>
  <c r="B714" i="1"/>
  <c r="C714" i="1"/>
  <c r="D714" i="1"/>
  <c r="E714" i="1"/>
  <c r="F714" i="1"/>
  <c r="H714" i="1"/>
  <c r="I714" i="1"/>
  <c r="J714" i="1"/>
  <c r="K714" i="1"/>
  <c r="L714" i="1"/>
  <c r="M714" i="1"/>
  <c r="N714" i="1"/>
  <c r="O714" i="1"/>
  <c r="W714" i="1"/>
  <c r="Y714" i="1"/>
  <c r="Z714" i="1"/>
  <c r="AA714" i="1"/>
  <c r="AC714" i="1"/>
  <c r="AE714" i="1"/>
  <c r="AF714" i="1"/>
  <c r="AG714" i="1"/>
  <c r="AK714" i="1"/>
  <c r="AS714" i="1"/>
  <c r="AT714" i="1"/>
  <c r="B715" i="1"/>
  <c r="C715" i="1"/>
  <c r="D715" i="1"/>
  <c r="E715" i="1"/>
  <c r="F715" i="1"/>
  <c r="H715" i="1"/>
  <c r="I715" i="1"/>
  <c r="J715" i="1"/>
  <c r="K715" i="1"/>
  <c r="L715" i="1"/>
  <c r="M715" i="1"/>
  <c r="N715" i="1"/>
  <c r="O715" i="1"/>
  <c r="W715" i="1"/>
  <c r="Y715" i="1"/>
  <c r="Z715" i="1"/>
  <c r="AA715" i="1"/>
  <c r="AC715" i="1"/>
  <c r="AE715" i="1"/>
  <c r="AF715" i="1"/>
  <c r="AG715" i="1"/>
  <c r="AK715" i="1"/>
  <c r="AS715" i="1"/>
  <c r="AT715" i="1"/>
  <c r="B716" i="1"/>
  <c r="C716" i="1"/>
  <c r="D716" i="1"/>
  <c r="E716" i="1"/>
  <c r="F716" i="1"/>
  <c r="H716" i="1"/>
  <c r="I716" i="1"/>
  <c r="J716" i="1"/>
  <c r="K716" i="1"/>
  <c r="L716" i="1"/>
  <c r="M716" i="1"/>
  <c r="N716" i="1"/>
  <c r="O716" i="1"/>
  <c r="W716" i="1"/>
  <c r="Y716" i="1"/>
  <c r="Z716" i="1"/>
  <c r="AA716" i="1"/>
  <c r="AC716" i="1"/>
  <c r="AE716" i="1"/>
  <c r="AF716" i="1"/>
  <c r="AG716" i="1"/>
  <c r="AK716" i="1"/>
  <c r="AS716" i="1"/>
  <c r="AT716" i="1"/>
  <c r="B717" i="1"/>
  <c r="C717" i="1"/>
  <c r="D717" i="1"/>
  <c r="E717" i="1"/>
  <c r="F717" i="1"/>
  <c r="H717" i="1"/>
  <c r="I717" i="1"/>
  <c r="J717" i="1"/>
  <c r="K717" i="1"/>
  <c r="L717" i="1"/>
  <c r="M717" i="1"/>
  <c r="N717" i="1"/>
  <c r="O717" i="1"/>
  <c r="W717" i="1"/>
  <c r="Y717" i="1"/>
  <c r="Z717" i="1"/>
  <c r="AA717" i="1"/>
  <c r="AC717" i="1"/>
  <c r="AE717" i="1"/>
  <c r="AF717" i="1"/>
  <c r="AG717" i="1"/>
  <c r="AK717" i="1"/>
  <c r="AS717" i="1"/>
  <c r="AT717" i="1"/>
  <c r="B718" i="1"/>
  <c r="C718" i="1"/>
  <c r="D718" i="1"/>
  <c r="E718" i="1"/>
  <c r="F718" i="1"/>
  <c r="G718" i="1"/>
  <c r="H718" i="1"/>
  <c r="I718" i="1"/>
  <c r="J718" i="1"/>
  <c r="K718" i="1"/>
  <c r="L718" i="1"/>
  <c r="M718" i="1"/>
  <c r="N718" i="1"/>
  <c r="O718" i="1"/>
  <c r="W718" i="1"/>
  <c r="Y718" i="1"/>
  <c r="Z718" i="1"/>
  <c r="AA718" i="1"/>
  <c r="AC718" i="1"/>
  <c r="AE718" i="1"/>
  <c r="AF718" i="1"/>
  <c r="AG718" i="1"/>
  <c r="AK718" i="1"/>
  <c r="AS718" i="1"/>
  <c r="AT718" i="1"/>
  <c r="B719" i="1"/>
  <c r="C719" i="1"/>
  <c r="D719" i="1"/>
  <c r="E719" i="1"/>
  <c r="F719" i="1"/>
  <c r="G719" i="1"/>
  <c r="H719" i="1"/>
  <c r="I719" i="1"/>
  <c r="J719" i="1"/>
  <c r="K719" i="1"/>
  <c r="L719" i="1"/>
  <c r="M719" i="1"/>
  <c r="N719" i="1"/>
  <c r="O719" i="1"/>
  <c r="W719" i="1"/>
  <c r="Y719" i="1"/>
  <c r="Z719" i="1"/>
  <c r="AA719" i="1"/>
  <c r="AC719" i="1"/>
  <c r="AE719" i="1"/>
  <c r="AF719" i="1"/>
  <c r="AG719" i="1"/>
  <c r="AK719" i="1"/>
  <c r="AS719" i="1"/>
  <c r="AT719" i="1"/>
  <c r="B720" i="1"/>
  <c r="C720" i="1"/>
  <c r="D720" i="1"/>
  <c r="E720" i="1"/>
  <c r="F720" i="1"/>
  <c r="H720" i="1"/>
  <c r="I720" i="1"/>
  <c r="J720" i="1"/>
  <c r="K720" i="1"/>
  <c r="L720" i="1"/>
  <c r="M720" i="1"/>
  <c r="N720" i="1"/>
  <c r="O720" i="1"/>
  <c r="W720" i="1"/>
  <c r="Y720" i="1"/>
  <c r="Z720" i="1"/>
  <c r="AA720" i="1"/>
  <c r="AC720" i="1"/>
  <c r="AE720" i="1"/>
  <c r="AF720" i="1"/>
  <c r="AG720" i="1"/>
  <c r="AK720" i="1"/>
  <c r="AS720" i="1"/>
  <c r="AT720" i="1"/>
  <c r="B721" i="1"/>
  <c r="C721" i="1"/>
  <c r="D721" i="1"/>
  <c r="E721" i="1"/>
  <c r="F721" i="1"/>
  <c r="H721" i="1"/>
  <c r="I721" i="1"/>
  <c r="J721" i="1"/>
  <c r="K721" i="1"/>
  <c r="L721" i="1"/>
  <c r="M721" i="1"/>
  <c r="N721" i="1"/>
  <c r="O721" i="1"/>
  <c r="W721" i="1"/>
  <c r="Y721" i="1"/>
  <c r="Z721" i="1"/>
  <c r="AA721" i="1"/>
  <c r="AC721" i="1"/>
  <c r="AE721" i="1"/>
  <c r="AF721" i="1"/>
  <c r="AG721" i="1"/>
  <c r="AK721" i="1"/>
  <c r="AS721" i="1"/>
  <c r="AT721" i="1"/>
  <c r="B722" i="1"/>
  <c r="C722" i="1"/>
  <c r="D722" i="1"/>
  <c r="E722" i="1"/>
  <c r="F722" i="1"/>
  <c r="G722" i="1"/>
  <c r="H722" i="1"/>
  <c r="I722" i="1"/>
  <c r="J722" i="1"/>
  <c r="K722" i="1"/>
  <c r="L722" i="1"/>
  <c r="M722" i="1"/>
  <c r="N722" i="1"/>
  <c r="O722" i="1"/>
  <c r="W722" i="1"/>
  <c r="Y722" i="1"/>
  <c r="Z722" i="1"/>
  <c r="AA722" i="1"/>
  <c r="AC722" i="1"/>
  <c r="AE722" i="1"/>
  <c r="AF722" i="1"/>
  <c r="AG722" i="1"/>
  <c r="AK722" i="1"/>
  <c r="AS722" i="1"/>
  <c r="AT722" i="1"/>
  <c r="B723" i="1"/>
  <c r="C723" i="1"/>
  <c r="D723" i="1"/>
  <c r="E723" i="1"/>
  <c r="F723" i="1"/>
  <c r="H723" i="1"/>
  <c r="I723" i="1"/>
  <c r="J723" i="1"/>
  <c r="K723" i="1"/>
  <c r="L723" i="1"/>
  <c r="M723" i="1"/>
  <c r="N723" i="1"/>
  <c r="O723" i="1"/>
  <c r="W723" i="1"/>
  <c r="Y723" i="1"/>
  <c r="Z723" i="1"/>
  <c r="AA723" i="1"/>
  <c r="AC723" i="1"/>
  <c r="AE723" i="1"/>
  <c r="AF723" i="1"/>
  <c r="AG723" i="1"/>
  <c r="AK723" i="1"/>
  <c r="AS723" i="1"/>
  <c r="AT723" i="1"/>
  <c r="B724" i="1"/>
  <c r="C724" i="1"/>
  <c r="D724" i="1"/>
  <c r="E724" i="1"/>
  <c r="F724" i="1"/>
  <c r="G724" i="1"/>
  <c r="H724" i="1"/>
  <c r="I724" i="1"/>
  <c r="J724" i="1"/>
  <c r="K724" i="1"/>
  <c r="L724" i="1"/>
  <c r="M724" i="1"/>
  <c r="N724" i="1"/>
  <c r="O724" i="1"/>
  <c r="S724" i="1"/>
  <c r="T724" i="1"/>
  <c r="U724" i="1"/>
  <c r="W724" i="1"/>
  <c r="Y724" i="1"/>
  <c r="Z724" i="1"/>
  <c r="AA724" i="1"/>
  <c r="AC724" i="1"/>
  <c r="AE724" i="1"/>
  <c r="AF724" i="1"/>
  <c r="AG724" i="1"/>
  <c r="AK724" i="1"/>
  <c r="AS724" i="1"/>
  <c r="AT724" i="1"/>
  <c r="B725" i="1"/>
  <c r="C725" i="1"/>
  <c r="D725" i="1"/>
  <c r="E725" i="1"/>
  <c r="F725" i="1"/>
  <c r="H725" i="1"/>
  <c r="I725" i="1"/>
  <c r="J725" i="1"/>
  <c r="K725" i="1"/>
  <c r="L725" i="1"/>
  <c r="M725" i="1"/>
  <c r="N725" i="1"/>
  <c r="O725" i="1"/>
  <c r="W725" i="1"/>
  <c r="Y725" i="1"/>
  <c r="Z725" i="1"/>
  <c r="AA725" i="1"/>
  <c r="AC725" i="1"/>
  <c r="AE725" i="1"/>
  <c r="AF725" i="1"/>
  <c r="AG725" i="1"/>
  <c r="AK725" i="1"/>
  <c r="AS725" i="1"/>
  <c r="AT725" i="1"/>
  <c r="B726" i="1"/>
  <c r="C726" i="1"/>
  <c r="D726" i="1"/>
  <c r="E726" i="1"/>
  <c r="F726" i="1"/>
  <c r="H726" i="1"/>
  <c r="I726" i="1"/>
  <c r="J726" i="1"/>
  <c r="K726" i="1"/>
  <c r="L726" i="1"/>
  <c r="M726" i="1"/>
  <c r="N726" i="1"/>
  <c r="O726" i="1"/>
  <c r="W726" i="1"/>
  <c r="Y726" i="1"/>
  <c r="Z726" i="1"/>
  <c r="AA726" i="1"/>
  <c r="AC726" i="1"/>
  <c r="AE726" i="1"/>
  <c r="AF726" i="1"/>
  <c r="AG726" i="1"/>
  <c r="AK726" i="1"/>
  <c r="AS726" i="1"/>
  <c r="AT726" i="1"/>
  <c r="B727" i="1"/>
  <c r="C727" i="1"/>
  <c r="D727" i="1"/>
  <c r="E727" i="1"/>
  <c r="F727" i="1"/>
  <c r="H727" i="1"/>
  <c r="I727" i="1"/>
  <c r="J727" i="1"/>
  <c r="K727" i="1"/>
  <c r="L727" i="1"/>
  <c r="M727" i="1"/>
  <c r="N727" i="1"/>
  <c r="O727" i="1"/>
  <c r="W727" i="1"/>
  <c r="Y727" i="1"/>
  <c r="Z727" i="1"/>
  <c r="AA727" i="1"/>
  <c r="AC727" i="1"/>
  <c r="AE727" i="1"/>
  <c r="AF727" i="1"/>
  <c r="AG727" i="1"/>
  <c r="AK727" i="1"/>
  <c r="AS727" i="1"/>
  <c r="AT727" i="1"/>
  <c r="B728" i="1"/>
  <c r="C728" i="1"/>
  <c r="D728" i="1"/>
  <c r="E728" i="1"/>
  <c r="F728" i="1"/>
  <c r="H728" i="1"/>
  <c r="I728" i="1"/>
  <c r="J728" i="1"/>
  <c r="K728" i="1"/>
  <c r="L728" i="1"/>
  <c r="M728" i="1"/>
  <c r="N728" i="1"/>
  <c r="O728" i="1"/>
  <c r="W728" i="1"/>
  <c r="Y728" i="1"/>
  <c r="Z728" i="1"/>
  <c r="AA728" i="1"/>
  <c r="AC728" i="1"/>
  <c r="AE728" i="1"/>
  <c r="AF728" i="1"/>
  <c r="AG728" i="1"/>
  <c r="AK728" i="1"/>
  <c r="AS728" i="1"/>
  <c r="AT728" i="1"/>
  <c r="B729" i="1"/>
  <c r="C729" i="1"/>
  <c r="D729" i="1"/>
  <c r="E729" i="1"/>
  <c r="F729" i="1"/>
  <c r="G729" i="1"/>
  <c r="H729" i="1"/>
  <c r="I729" i="1"/>
  <c r="J729" i="1"/>
  <c r="K729" i="1"/>
  <c r="L729" i="1"/>
  <c r="M729" i="1"/>
  <c r="N729" i="1"/>
  <c r="O729" i="1"/>
  <c r="W729" i="1"/>
  <c r="Y729" i="1"/>
  <c r="Z729" i="1"/>
  <c r="AA729" i="1"/>
  <c r="AC729" i="1"/>
  <c r="AE729" i="1"/>
  <c r="AF729" i="1"/>
  <c r="AG729" i="1"/>
  <c r="AK729" i="1"/>
  <c r="AS729" i="1"/>
  <c r="AT729" i="1"/>
  <c r="B730" i="1"/>
  <c r="C730" i="1"/>
  <c r="D730" i="1"/>
  <c r="E730" i="1"/>
  <c r="F730" i="1"/>
  <c r="H730" i="1"/>
  <c r="I730" i="1"/>
  <c r="J730" i="1"/>
  <c r="K730" i="1"/>
  <c r="L730" i="1"/>
  <c r="M730" i="1"/>
  <c r="N730" i="1"/>
  <c r="O730" i="1"/>
  <c r="W730" i="1"/>
  <c r="Y730" i="1"/>
  <c r="Z730" i="1"/>
  <c r="AA730" i="1"/>
  <c r="AC730" i="1"/>
  <c r="AE730" i="1"/>
  <c r="AF730" i="1"/>
  <c r="AG730" i="1"/>
  <c r="AK730" i="1"/>
  <c r="AS730" i="1"/>
  <c r="AT730" i="1"/>
  <c r="B731" i="1"/>
  <c r="C731" i="1"/>
  <c r="D731" i="1"/>
  <c r="E731" i="1"/>
  <c r="F731" i="1"/>
  <c r="H731" i="1"/>
  <c r="I731" i="1"/>
  <c r="J731" i="1"/>
  <c r="K731" i="1"/>
  <c r="L731" i="1"/>
  <c r="M731" i="1"/>
  <c r="N731" i="1"/>
  <c r="O731" i="1"/>
  <c r="W731" i="1"/>
  <c r="Y731" i="1"/>
  <c r="Z731" i="1"/>
  <c r="AA731" i="1"/>
  <c r="AC731" i="1"/>
  <c r="AE731" i="1"/>
  <c r="AF731" i="1"/>
  <c r="AG731" i="1"/>
  <c r="AK731" i="1"/>
  <c r="AS731" i="1"/>
  <c r="AT731" i="1"/>
  <c r="B732" i="1"/>
  <c r="C732" i="1"/>
  <c r="D732" i="1"/>
  <c r="E732" i="1"/>
  <c r="F732" i="1"/>
  <c r="G732" i="1"/>
  <c r="H732" i="1"/>
  <c r="I732" i="1"/>
  <c r="J732" i="1"/>
  <c r="K732" i="1"/>
  <c r="L732" i="1"/>
  <c r="M732" i="1"/>
  <c r="N732" i="1"/>
  <c r="O732" i="1"/>
  <c r="W732" i="1"/>
  <c r="Y732" i="1"/>
  <c r="Z732" i="1"/>
  <c r="AA732" i="1"/>
  <c r="AC732" i="1"/>
  <c r="AE732" i="1"/>
  <c r="AF732" i="1"/>
  <c r="AG732" i="1"/>
  <c r="AK732" i="1"/>
  <c r="AS732" i="1"/>
  <c r="AT732" i="1"/>
  <c r="B733" i="1"/>
  <c r="C733" i="1"/>
  <c r="D733" i="1"/>
  <c r="E733" i="1"/>
  <c r="F733" i="1"/>
  <c r="G733" i="1"/>
  <c r="H733" i="1"/>
  <c r="I733" i="1"/>
  <c r="J733" i="1"/>
  <c r="K733" i="1"/>
  <c r="L733" i="1"/>
  <c r="M733" i="1"/>
  <c r="N733" i="1"/>
  <c r="O733" i="1"/>
  <c r="W733" i="1"/>
  <c r="Y733" i="1"/>
  <c r="Z733" i="1"/>
  <c r="AA733" i="1"/>
  <c r="AC733" i="1"/>
  <c r="AE733" i="1"/>
  <c r="AF733" i="1"/>
  <c r="AG733" i="1"/>
  <c r="AK733" i="1"/>
  <c r="AS733" i="1"/>
  <c r="AT733" i="1"/>
  <c r="B734" i="1"/>
  <c r="C734" i="1"/>
  <c r="D734" i="1"/>
  <c r="E734" i="1"/>
  <c r="F734" i="1"/>
  <c r="G734" i="1"/>
  <c r="H734" i="1"/>
  <c r="I734" i="1"/>
  <c r="J734" i="1"/>
  <c r="K734" i="1"/>
  <c r="L734" i="1"/>
  <c r="M734" i="1"/>
  <c r="N734" i="1"/>
  <c r="O734" i="1"/>
  <c r="W734" i="1"/>
  <c r="Y734" i="1"/>
  <c r="Z734" i="1"/>
  <c r="AA734" i="1"/>
  <c r="AC734" i="1"/>
  <c r="AE734" i="1"/>
  <c r="AF734" i="1"/>
  <c r="AG734" i="1"/>
  <c r="AK734" i="1"/>
  <c r="AS734" i="1"/>
  <c r="AT734" i="1"/>
  <c r="B735" i="1"/>
  <c r="C735" i="1"/>
  <c r="D735" i="1"/>
  <c r="E735" i="1"/>
  <c r="F735" i="1"/>
  <c r="H735" i="1"/>
  <c r="I735" i="1"/>
  <c r="J735" i="1"/>
  <c r="K735" i="1"/>
  <c r="L735" i="1"/>
  <c r="M735" i="1"/>
  <c r="N735" i="1"/>
  <c r="O735" i="1"/>
  <c r="W735" i="1"/>
  <c r="Y735" i="1"/>
  <c r="Z735" i="1"/>
  <c r="AA735" i="1"/>
  <c r="AC735" i="1"/>
  <c r="AE735" i="1"/>
  <c r="AF735" i="1"/>
  <c r="AG735" i="1"/>
  <c r="AK735" i="1"/>
  <c r="AS735" i="1"/>
  <c r="AT735" i="1"/>
  <c r="B736" i="1"/>
  <c r="C736" i="1"/>
  <c r="D736" i="1"/>
  <c r="E736" i="1"/>
  <c r="F736" i="1"/>
  <c r="G736" i="1"/>
  <c r="H736" i="1"/>
  <c r="I736" i="1"/>
  <c r="J736" i="1"/>
  <c r="K736" i="1"/>
  <c r="L736" i="1"/>
  <c r="M736" i="1"/>
  <c r="N736" i="1"/>
  <c r="O736" i="1"/>
  <c r="W736" i="1"/>
  <c r="Y736" i="1"/>
  <c r="Z736" i="1"/>
  <c r="AA736" i="1"/>
  <c r="AC736" i="1"/>
  <c r="AE736" i="1"/>
  <c r="AF736" i="1"/>
  <c r="AG736" i="1"/>
  <c r="AK736" i="1"/>
  <c r="AS736" i="1"/>
  <c r="AT736" i="1"/>
  <c r="B737" i="1"/>
  <c r="C737" i="1"/>
  <c r="D737" i="1"/>
  <c r="E737" i="1"/>
  <c r="F737" i="1"/>
  <c r="G737" i="1"/>
  <c r="H737" i="1"/>
  <c r="I737" i="1"/>
  <c r="J737" i="1"/>
  <c r="K737" i="1"/>
  <c r="L737" i="1"/>
  <c r="M737" i="1"/>
  <c r="N737" i="1"/>
  <c r="O737" i="1"/>
  <c r="W737" i="1"/>
  <c r="Y737" i="1"/>
  <c r="Z737" i="1"/>
  <c r="AA737" i="1"/>
  <c r="AC737" i="1"/>
  <c r="AE737" i="1"/>
  <c r="AF737" i="1"/>
  <c r="AG737" i="1"/>
  <c r="AK737" i="1"/>
  <c r="AS737" i="1"/>
  <c r="AT737" i="1"/>
  <c r="B738" i="1"/>
  <c r="C738" i="1"/>
  <c r="D738" i="1"/>
  <c r="E738" i="1"/>
  <c r="F738" i="1"/>
  <c r="H738" i="1"/>
  <c r="I738" i="1"/>
  <c r="J738" i="1"/>
  <c r="K738" i="1"/>
  <c r="L738" i="1"/>
  <c r="M738" i="1"/>
  <c r="N738" i="1"/>
  <c r="O738" i="1"/>
  <c r="W738" i="1"/>
  <c r="Y738" i="1"/>
  <c r="Z738" i="1"/>
  <c r="AA738" i="1"/>
  <c r="AC738" i="1"/>
  <c r="AE738" i="1"/>
  <c r="AF738" i="1"/>
  <c r="AG738" i="1"/>
  <c r="AK738" i="1"/>
  <c r="AS738" i="1"/>
  <c r="AT738" i="1"/>
  <c r="B739" i="1"/>
  <c r="C739" i="1"/>
  <c r="D739" i="1"/>
  <c r="E739" i="1"/>
  <c r="F739" i="1"/>
  <c r="G739" i="1"/>
  <c r="H739" i="1"/>
  <c r="I739" i="1"/>
  <c r="J739" i="1"/>
  <c r="K739" i="1"/>
  <c r="L739" i="1"/>
  <c r="M739" i="1"/>
  <c r="N739" i="1"/>
  <c r="O739" i="1"/>
  <c r="W739" i="1"/>
  <c r="Y739" i="1"/>
  <c r="Z739" i="1"/>
  <c r="AA739" i="1"/>
  <c r="AC739" i="1"/>
  <c r="AE739" i="1"/>
  <c r="AF739" i="1"/>
  <c r="AG739" i="1"/>
  <c r="AK739" i="1"/>
  <c r="AS739" i="1"/>
  <c r="AT739" i="1"/>
  <c r="B740" i="1"/>
  <c r="C740" i="1"/>
  <c r="D740" i="1"/>
  <c r="E740" i="1"/>
  <c r="F740" i="1"/>
  <c r="H740" i="1"/>
  <c r="I740" i="1"/>
  <c r="J740" i="1"/>
  <c r="K740" i="1"/>
  <c r="L740" i="1"/>
  <c r="M740" i="1"/>
  <c r="N740" i="1"/>
  <c r="O740" i="1"/>
  <c r="W740" i="1"/>
  <c r="Y740" i="1"/>
  <c r="Z740" i="1"/>
  <c r="AA740" i="1"/>
  <c r="AC740" i="1"/>
  <c r="AE740" i="1"/>
  <c r="AF740" i="1"/>
  <c r="AG740" i="1"/>
  <c r="AK740" i="1"/>
  <c r="AS740" i="1"/>
  <c r="AT740" i="1"/>
  <c r="B741" i="1"/>
  <c r="C741" i="1"/>
  <c r="D741" i="1"/>
  <c r="E741" i="1"/>
  <c r="F741" i="1"/>
  <c r="G741" i="1"/>
  <c r="H741" i="1"/>
  <c r="I741" i="1"/>
  <c r="J741" i="1"/>
  <c r="K741" i="1"/>
  <c r="L741" i="1"/>
  <c r="M741" i="1"/>
  <c r="N741" i="1"/>
  <c r="O741" i="1"/>
  <c r="W741" i="1"/>
  <c r="Y741" i="1"/>
  <c r="Z741" i="1"/>
  <c r="AA741" i="1"/>
  <c r="AC741" i="1"/>
  <c r="AE741" i="1"/>
  <c r="AF741" i="1"/>
  <c r="AG741" i="1"/>
  <c r="AK741" i="1"/>
  <c r="AS741" i="1"/>
  <c r="AT741" i="1"/>
  <c r="B742" i="1"/>
  <c r="C742" i="1"/>
  <c r="D742" i="1"/>
  <c r="E742" i="1"/>
  <c r="F742" i="1"/>
  <c r="H742" i="1"/>
  <c r="I742" i="1"/>
  <c r="J742" i="1"/>
  <c r="K742" i="1"/>
  <c r="L742" i="1"/>
  <c r="M742" i="1"/>
  <c r="N742" i="1"/>
  <c r="O742" i="1"/>
  <c r="W742" i="1"/>
  <c r="Y742" i="1"/>
  <c r="Z742" i="1"/>
  <c r="AA742" i="1"/>
  <c r="AC742" i="1"/>
  <c r="AE742" i="1"/>
  <c r="AF742" i="1"/>
  <c r="AG742" i="1"/>
  <c r="AK742" i="1"/>
  <c r="AS742" i="1"/>
  <c r="AT742" i="1"/>
  <c r="B743" i="1"/>
  <c r="C743" i="1"/>
  <c r="D743" i="1"/>
  <c r="E743" i="1"/>
  <c r="F743" i="1"/>
  <c r="H743" i="1"/>
  <c r="I743" i="1"/>
  <c r="J743" i="1"/>
  <c r="K743" i="1"/>
  <c r="L743" i="1"/>
  <c r="M743" i="1"/>
  <c r="N743" i="1"/>
  <c r="O743" i="1"/>
  <c r="S743" i="1"/>
  <c r="T743" i="1"/>
  <c r="U743" i="1"/>
  <c r="W743" i="1"/>
  <c r="Y743" i="1"/>
  <c r="Z743" i="1"/>
  <c r="AA743" i="1"/>
  <c r="AC743" i="1"/>
  <c r="AE743" i="1"/>
  <c r="AF743" i="1"/>
  <c r="AG743" i="1"/>
  <c r="AK743" i="1"/>
  <c r="AS743" i="1"/>
  <c r="AT743" i="1"/>
  <c r="B744" i="1"/>
  <c r="C744" i="1"/>
  <c r="D744" i="1"/>
  <c r="E744" i="1"/>
  <c r="F744" i="1"/>
  <c r="H744" i="1"/>
  <c r="I744" i="1"/>
  <c r="J744" i="1"/>
  <c r="K744" i="1"/>
  <c r="L744" i="1"/>
  <c r="M744" i="1"/>
  <c r="N744" i="1"/>
  <c r="O744" i="1"/>
  <c r="W744" i="1"/>
  <c r="Y744" i="1"/>
  <c r="Z744" i="1"/>
  <c r="AA744" i="1"/>
  <c r="AC744" i="1"/>
  <c r="AE744" i="1"/>
  <c r="AF744" i="1"/>
  <c r="AG744" i="1"/>
  <c r="AK744" i="1"/>
  <c r="AS744" i="1"/>
  <c r="AT744" i="1"/>
  <c r="B745" i="1"/>
  <c r="C745" i="1"/>
  <c r="D745" i="1"/>
  <c r="E745" i="1"/>
  <c r="F745" i="1"/>
  <c r="G745" i="1"/>
  <c r="H745" i="1"/>
  <c r="I745" i="1"/>
  <c r="J745" i="1"/>
  <c r="K745" i="1"/>
  <c r="L745" i="1"/>
  <c r="M745" i="1"/>
  <c r="N745" i="1"/>
  <c r="O745" i="1"/>
  <c r="W745" i="1"/>
  <c r="Y745" i="1"/>
  <c r="Z745" i="1"/>
  <c r="AA745" i="1"/>
  <c r="AC745" i="1"/>
  <c r="AE745" i="1"/>
  <c r="AF745" i="1"/>
  <c r="AG745" i="1"/>
  <c r="AK745" i="1"/>
  <c r="AS745" i="1"/>
  <c r="AT745" i="1"/>
  <c r="B746" i="1"/>
  <c r="C746" i="1"/>
  <c r="D746" i="1"/>
  <c r="E746" i="1"/>
  <c r="F746" i="1"/>
  <c r="G746" i="1"/>
  <c r="H746" i="1"/>
  <c r="I746" i="1"/>
  <c r="J746" i="1"/>
  <c r="K746" i="1"/>
  <c r="L746" i="1"/>
  <c r="M746" i="1"/>
  <c r="N746" i="1"/>
  <c r="O746" i="1"/>
  <c r="W746" i="1"/>
  <c r="Y746" i="1"/>
  <c r="Z746" i="1"/>
  <c r="AA746" i="1"/>
  <c r="AC746" i="1"/>
  <c r="AE746" i="1"/>
  <c r="AF746" i="1"/>
  <c r="AG746" i="1"/>
  <c r="AK746" i="1"/>
  <c r="AS746" i="1"/>
  <c r="AT746" i="1"/>
  <c r="B747" i="1"/>
  <c r="C747" i="1"/>
  <c r="D747" i="1"/>
  <c r="E747" i="1"/>
  <c r="F747" i="1"/>
  <c r="G747" i="1"/>
  <c r="H747" i="1"/>
  <c r="I747" i="1"/>
  <c r="J747" i="1"/>
  <c r="K747" i="1"/>
  <c r="L747" i="1"/>
  <c r="M747" i="1"/>
  <c r="N747" i="1"/>
  <c r="O747" i="1"/>
  <c r="W747" i="1"/>
  <c r="Y747" i="1"/>
  <c r="Z747" i="1"/>
  <c r="AA747" i="1"/>
  <c r="AC747" i="1"/>
  <c r="AE747" i="1"/>
  <c r="AF747" i="1"/>
  <c r="AG747" i="1"/>
  <c r="AK747" i="1"/>
  <c r="AS747" i="1"/>
  <c r="AT747" i="1"/>
  <c r="B748" i="1"/>
  <c r="C748" i="1"/>
  <c r="D748" i="1"/>
  <c r="E748" i="1"/>
  <c r="F748" i="1"/>
  <c r="H748" i="1"/>
  <c r="I748" i="1"/>
  <c r="J748" i="1"/>
  <c r="K748" i="1"/>
  <c r="L748" i="1"/>
  <c r="M748" i="1"/>
  <c r="N748" i="1"/>
  <c r="O748" i="1"/>
  <c r="W748" i="1"/>
  <c r="Y748" i="1"/>
  <c r="Z748" i="1"/>
  <c r="AA748" i="1"/>
  <c r="AC748" i="1"/>
  <c r="AE748" i="1"/>
  <c r="AF748" i="1"/>
  <c r="AG748" i="1"/>
  <c r="AK748" i="1"/>
  <c r="AS748" i="1"/>
  <c r="AT748" i="1"/>
  <c r="B749" i="1"/>
  <c r="C749" i="1"/>
  <c r="D749" i="1"/>
  <c r="E749" i="1"/>
  <c r="F749" i="1"/>
  <c r="H749" i="1"/>
  <c r="I749" i="1"/>
  <c r="J749" i="1"/>
  <c r="K749" i="1"/>
  <c r="L749" i="1"/>
  <c r="M749" i="1"/>
  <c r="N749" i="1"/>
  <c r="O749" i="1"/>
  <c r="W749" i="1"/>
  <c r="Y749" i="1"/>
  <c r="Z749" i="1"/>
  <c r="AA749" i="1"/>
  <c r="AC749" i="1"/>
  <c r="AE749" i="1"/>
  <c r="AF749" i="1"/>
  <c r="AG749" i="1"/>
  <c r="AK749" i="1"/>
  <c r="AS749" i="1"/>
  <c r="AT749" i="1"/>
  <c r="B750" i="1"/>
  <c r="C750" i="1"/>
  <c r="D750" i="1"/>
  <c r="E750" i="1"/>
  <c r="F750" i="1"/>
  <c r="H750" i="1"/>
  <c r="I750" i="1"/>
  <c r="J750" i="1"/>
  <c r="K750" i="1"/>
  <c r="L750" i="1"/>
  <c r="M750" i="1"/>
  <c r="N750" i="1"/>
  <c r="O750" i="1"/>
  <c r="W750" i="1"/>
  <c r="Y750" i="1"/>
  <c r="Z750" i="1"/>
  <c r="AA750" i="1"/>
  <c r="AC750" i="1"/>
  <c r="AE750" i="1"/>
  <c r="AF750" i="1"/>
  <c r="AG750" i="1"/>
  <c r="AK750" i="1"/>
  <c r="AS750" i="1"/>
  <c r="AT750" i="1"/>
  <c r="B751" i="1"/>
  <c r="C751" i="1"/>
  <c r="D751" i="1"/>
  <c r="E751" i="1"/>
  <c r="F751" i="1"/>
  <c r="H751" i="1"/>
  <c r="I751" i="1"/>
  <c r="J751" i="1"/>
  <c r="K751" i="1"/>
  <c r="L751" i="1"/>
  <c r="M751" i="1"/>
  <c r="N751" i="1"/>
  <c r="O751" i="1"/>
  <c r="W751" i="1"/>
  <c r="Y751" i="1"/>
  <c r="Z751" i="1"/>
  <c r="AA751" i="1"/>
  <c r="AC751" i="1"/>
  <c r="AE751" i="1"/>
  <c r="AF751" i="1"/>
  <c r="AG751" i="1"/>
  <c r="AK751" i="1"/>
  <c r="AS751" i="1"/>
  <c r="AT751" i="1"/>
  <c r="B752" i="1"/>
  <c r="C752" i="1"/>
  <c r="D752" i="1"/>
  <c r="E752" i="1"/>
  <c r="F752" i="1"/>
  <c r="H752" i="1"/>
  <c r="I752" i="1"/>
  <c r="J752" i="1"/>
  <c r="K752" i="1"/>
  <c r="L752" i="1"/>
  <c r="M752" i="1"/>
  <c r="N752" i="1"/>
  <c r="O752" i="1"/>
  <c r="W752" i="1"/>
  <c r="Y752" i="1"/>
  <c r="Z752" i="1"/>
  <c r="AA752" i="1"/>
  <c r="AC752" i="1"/>
  <c r="AE752" i="1"/>
  <c r="AF752" i="1"/>
  <c r="AG752" i="1"/>
  <c r="AK752" i="1"/>
  <c r="AS752" i="1"/>
  <c r="AT752" i="1"/>
  <c r="B753" i="1"/>
  <c r="C753" i="1"/>
  <c r="D753" i="1"/>
  <c r="E753" i="1"/>
  <c r="F753" i="1"/>
  <c r="H753" i="1"/>
  <c r="I753" i="1"/>
  <c r="J753" i="1"/>
  <c r="K753" i="1"/>
  <c r="L753" i="1"/>
  <c r="M753" i="1"/>
  <c r="N753" i="1"/>
  <c r="O753" i="1"/>
  <c r="W753" i="1"/>
  <c r="Y753" i="1"/>
  <c r="Z753" i="1"/>
  <c r="AA753" i="1"/>
  <c r="AC753" i="1"/>
  <c r="AE753" i="1"/>
  <c r="AF753" i="1"/>
  <c r="AG753" i="1"/>
  <c r="AK753" i="1"/>
  <c r="AS753" i="1"/>
  <c r="AT753" i="1"/>
  <c r="B754" i="1"/>
  <c r="C754" i="1"/>
  <c r="D754" i="1"/>
  <c r="E754" i="1"/>
  <c r="F754" i="1"/>
  <c r="H754" i="1"/>
  <c r="I754" i="1"/>
  <c r="J754" i="1"/>
  <c r="K754" i="1"/>
  <c r="L754" i="1"/>
  <c r="M754" i="1"/>
  <c r="N754" i="1"/>
  <c r="O754" i="1"/>
  <c r="W754" i="1"/>
  <c r="Y754" i="1"/>
  <c r="Z754" i="1"/>
  <c r="AA754" i="1"/>
  <c r="AC754" i="1"/>
  <c r="AE754" i="1"/>
  <c r="AF754" i="1"/>
  <c r="AG754" i="1"/>
  <c r="AK754" i="1"/>
  <c r="AS754" i="1"/>
  <c r="AT754" i="1"/>
  <c r="B755" i="1"/>
  <c r="C755" i="1"/>
  <c r="D755" i="1"/>
  <c r="E755" i="1"/>
  <c r="F755" i="1"/>
  <c r="G755" i="1"/>
  <c r="H755" i="1"/>
  <c r="I755" i="1"/>
  <c r="J755" i="1"/>
  <c r="K755" i="1"/>
  <c r="L755" i="1"/>
  <c r="M755" i="1"/>
  <c r="N755" i="1"/>
  <c r="O755" i="1"/>
  <c r="W755" i="1"/>
  <c r="Y755" i="1"/>
  <c r="Z755" i="1"/>
  <c r="AA755" i="1"/>
  <c r="AC755" i="1"/>
  <c r="AE755" i="1"/>
  <c r="AF755" i="1"/>
  <c r="AG755" i="1"/>
  <c r="AK755" i="1"/>
  <c r="AS755" i="1"/>
  <c r="AT755" i="1"/>
  <c r="B756" i="1"/>
  <c r="C756" i="1"/>
  <c r="D756" i="1"/>
  <c r="E756" i="1"/>
  <c r="F756" i="1"/>
  <c r="H756" i="1"/>
  <c r="I756" i="1"/>
  <c r="J756" i="1"/>
  <c r="K756" i="1"/>
  <c r="L756" i="1"/>
  <c r="M756" i="1"/>
  <c r="N756" i="1"/>
  <c r="O756" i="1"/>
  <c r="W756" i="1"/>
  <c r="Y756" i="1"/>
  <c r="Z756" i="1"/>
  <c r="AA756" i="1"/>
  <c r="AC756" i="1"/>
  <c r="AE756" i="1"/>
  <c r="AF756" i="1"/>
  <c r="AG756" i="1"/>
  <c r="AK756" i="1"/>
  <c r="AS756" i="1"/>
  <c r="AT756" i="1"/>
  <c r="B757" i="1"/>
  <c r="C757" i="1"/>
  <c r="D757" i="1"/>
  <c r="E757" i="1"/>
  <c r="F757" i="1"/>
  <c r="H757" i="1"/>
  <c r="I757" i="1"/>
  <c r="J757" i="1"/>
  <c r="K757" i="1"/>
  <c r="L757" i="1"/>
  <c r="M757" i="1"/>
  <c r="N757" i="1"/>
  <c r="O757" i="1"/>
  <c r="W757" i="1"/>
  <c r="Y757" i="1"/>
  <c r="Z757" i="1"/>
  <c r="AA757" i="1"/>
  <c r="AC757" i="1"/>
  <c r="AE757" i="1"/>
  <c r="AF757" i="1"/>
  <c r="AG757" i="1"/>
  <c r="AK757" i="1"/>
  <c r="AS757" i="1"/>
  <c r="AT757" i="1"/>
  <c r="B758" i="1"/>
  <c r="C758" i="1"/>
  <c r="D758" i="1"/>
  <c r="E758" i="1"/>
  <c r="F758" i="1"/>
  <c r="H758" i="1"/>
  <c r="I758" i="1"/>
  <c r="J758" i="1"/>
  <c r="K758" i="1"/>
  <c r="L758" i="1"/>
  <c r="M758" i="1"/>
  <c r="N758" i="1"/>
  <c r="O758" i="1"/>
  <c r="W758" i="1"/>
  <c r="Y758" i="1"/>
  <c r="Z758" i="1"/>
  <c r="AA758" i="1"/>
  <c r="AC758" i="1"/>
  <c r="AE758" i="1"/>
  <c r="AF758" i="1"/>
  <c r="AG758" i="1"/>
  <c r="AK758" i="1"/>
  <c r="AS758" i="1"/>
  <c r="AT758" i="1"/>
  <c r="B759" i="1"/>
  <c r="C759" i="1"/>
  <c r="D759" i="1"/>
  <c r="E759" i="1"/>
  <c r="F759" i="1"/>
  <c r="H759" i="1"/>
  <c r="I759" i="1"/>
  <c r="J759" i="1"/>
  <c r="K759" i="1"/>
  <c r="L759" i="1"/>
  <c r="M759" i="1"/>
  <c r="N759" i="1"/>
  <c r="O759" i="1"/>
  <c r="W759" i="1"/>
  <c r="Y759" i="1"/>
  <c r="Z759" i="1"/>
  <c r="AA759" i="1"/>
  <c r="AC759" i="1"/>
  <c r="AE759" i="1"/>
  <c r="AF759" i="1"/>
  <c r="AG759" i="1"/>
  <c r="AK759" i="1"/>
  <c r="AS759" i="1"/>
  <c r="AT759" i="1"/>
  <c r="B760" i="1"/>
  <c r="C760" i="1"/>
  <c r="D760" i="1"/>
  <c r="E760" i="1"/>
  <c r="F760" i="1"/>
  <c r="H760" i="1"/>
  <c r="I760" i="1"/>
  <c r="J760" i="1"/>
  <c r="K760" i="1"/>
  <c r="L760" i="1"/>
  <c r="M760" i="1"/>
  <c r="N760" i="1"/>
  <c r="O760" i="1"/>
  <c r="W760" i="1"/>
  <c r="Y760" i="1"/>
  <c r="Z760" i="1"/>
  <c r="AA760" i="1"/>
  <c r="AC760" i="1"/>
  <c r="AE760" i="1"/>
  <c r="AF760" i="1"/>
  <c r="AG760" i="1"/>
  <c r="AK760" i="1"/>
  <c r="AS760" i="1"/>
  <c r="AT760" i="1"/>
  <c r="B761" i="1"/>
  <c r="C761" i="1"/>
  <c r="D761" i="1"/>
  <c r="E761" i="1"/>
  <c r="F761" i="1"/>
  <c r="H761" i="1"/>
  <c r="I761" i="1"/>
  <c r="J761" i="1"/>
  <c r="K761" i="1"/>
  <c r="L761" i="1"/>
  <c r="M761" i="1"/>
  <c r="N761" i="1"/>
  <c r="O761" i="1"/>
  <c r="W761" i="1"/>
  <c r="Y761" i="1"/>
  <c r="Z761" i="1"/>
  <c r="AA761" i="1"/>
  <c r="AC761" i="1"/>
  <c r="AE761" i="1"/>
  <c r="AF761" i="1"/>
  <c r="AG761" i="1"/>
  <c r="AK761" i="1"/>
  <c r="AS761" i="1"/>
  <c r="AT761" i="1"/>
  <c r="B762" i="1"/>
  <c r="C762" i="1"/>
  <c r="D762" i="1"/>
  <c r="E762" i="1"/>
  <c r="F762" i="1"/>
  <c r="G762" i="1"/>
  <c r="H762" i="1"/>
  <c r="I762" i="1"/>
  <c r="J762" i="1"/>
  <c r="K762" i="1"/>
  <c r="L762" i="1"/>
  <c r="M762" i="1"/>
  <c r="N762" i="1"/>
  <c r="O762" i="1"/>
  <c r="W762" i="1"/>
  <c r="Y762" i="1"/>
  <c r="Z762" i="1"/>
  <c r="AA762" i="1"/>
  <c r="AC762" i="1"/>
  <c r="AE762" i="1"/>
  <c r="AF762" i="1"/>
  <c r="AG762" i="1"/>
  <c r="AK762" i="1"/>
  <c r="AS762" i="1"/>
  <c r="AT762" i="1"/>
  <c r="B763" i="1"/>
  <c r="C763" i="1"/>
  <c r="D763" i="1"/>
  <c r="E763" i="1"/>
  <c r="F763" i="1"/>
  <c r="H763" i="1"/>
  <c r="I763" i="1"/>
  <c r="J763" i="1"/>
  <c r="K763" i="1"/>
  <c r="L763" i="1"/>
  <c r="M763" i="1"/>
  <c r="N763" i="1"/>
  <c r="O763" i="1"/>
  <c r="W763" i="1"/>
  <c r="Y763" i="1"/>
  <c r="Z763" i="1"/>
  <c r="AA763" i="1"/>
  <c r="AC763" i="1"/>
  <c r="AE763" i="1"/>
  <c r="AF763" i="1"/>
  <c r="AG763" i="1"/>
  <c r="AK763" i="1"/>
  <c r="AS763" i="1"/>
  <c r="AT763" i="1"/>
  <c r="B764" i="1"/>
  <c r="C764" i="1"/>
  <c r="D764" i="1"/>
  <c r="E764" i="1"/>
  <c r="F764" i="1"/>
  <c r="H764" i="1"/>
  <c r="I764" i="1"/>
  <c r="J764" i="1"/>
  <c r="K764" i="1"/>
  <c r="L764" i="1"/>
  <c r="M764" i="1"/>
  <c r="N764" i="1"/>
  <c r="O764" i="1"/>
  <c r="W764" i="1"/>
  <c r="Y764" i="1"/>
  <c r="Z764" i="1"/>
  <c r="AA764" i="1"/>
  <c r="AC764" i="1"/>
  <c r="AE764" i="1"/>
  <c r="AF764" i="1"/>
  <c r="AG764" i="1"/>
  <c r="AK764" i="1"/>
  <c r="AS764" i="1"/>
  <c r="AT764" i="1"/>
  <c r="B765" i="1"/>
  <c r="C765" i="1"/>
  <c r="D765" i="1"/>
  <c r="E765" i="1"/>
  <c r="F765" i="1"/>
  <c r="H765" i="1"/>
  <c r="I765" i="1"/>
  <c r="J765" i="1"/>
  <c r="K765" i="1"/>
  <c r="L765" i="1"/>
  <c r="M765" i="1"/>
  <c r="N765" i="1"/>
  <c r="O765" i="1"/>
  <c r="W765" i="1"/>
  <c r="Y765" i="1"/>
  <c r="Z765" i="1"/>
  <c r="AA765" i="1"/>
  <c r="AC765" i="1"/>
  <c r="AE765" i="1"/>
  <c r="AF765" i="1"/>
  <c r="AG765" i="1"/>
  <c r="AK765" i="1"/>
  <c r="AS765" i="1"/>
  <c r="AT765" i="1"/>
  <c r="B766" i="1"/>
  <c r="C766" i="1"/>
  <c r="D766" i="1"/>
  <c r="E766" i="1"/>
  <c r="F766" i="1"/>
  <c r="H766" i="1"/>
  <c r="I766" i="1"/>
  <c r="J766" i="1"/>
  <c r="K766" i="1"/>
  <c r="L766" i="1"/>
  <c r="M766" i="1"/>
  <c r="N766" i="1"/>
  <c r="O766" i="1"/>
  <c r="W766" i="1"/>
  <c r="Y766" i="1"/>
  <c r="Z766" i="1"/>
  <c r="AA766" i="1"/>
  <c r="AC766" i="1"/>
  <c r="AE766" i="1"/>
  <c r="AF766" i="1"/>
  <c r="AG766" i="1"/>
  <c r="AK766" i="1"/>
  <c r="AS766" i="1"/>
  <c r="AT766" i="1"/>
  <c r="B767" i="1"/>
  <c r="C767" i="1"/>
  <c r="D767" i="1"/>
  <c r="E767" i="1"/>
  <c r="F767" i="1"/>
  <c r="H767" i="1"/>
  <c r="I767" i="1"/>
  <c r="J767" i="1"/>
  <c r="K767" i="1"/>
  <c r="L767" i="1"/>
  <c r="M767" i="1"/>
  <c r="N767" i="1"/>
  <c r="O767" i="1"/>
  <c r="S767" i="1"/>
  <c r="T767" i="1"/>
  <c r="U767" i="1"/>
  <c r="W767" i="1"/>
  <c r="Y767" i="1"/>
  <c r="Z767" i="1"/>
  <c r="AA767" i="1"/>
  <c r="AC767" i="1"/>
  <c r="AE767" i="1"/>
  <c r="AF767" i="1"/>
  <c r="AG767" i="1"/>
  <c r="AK767" i="1"/>
  <c r="AS767" i="1"/>
  <c r="AT767" i="1"/>
  <c r="B768" i="1"/>
  <c r="C768" i="1"/>
  <c r="D768" i="1"/>
  <c r="E768" i="1"/>
  <c r="F768" i="1"/>
  <c r="H768" i="1"/>
  <c r="I768" i="1"/>
  <c r="J768" i="1"/>
  <c r="K768" i="1"/>
  <c r="L768" i="1"/>
  <c r="M768" i="1"/>
  <c r="N768" i="1"/>
  <c r="O768" i="1"/>
  <c r="W768" i="1"/>
  <c r="Y768" i="1"/>
  <c r="Z768" i="1"/>
  <c r="AA768" i="1"/>
  <c r="AC768" i="1"/>
  <c r="AE768" i="1"/>
  <c r="AF768" i="1"/>
  <c r="AG768" i="1"/>
  <c r="AK768" i="1"/>
  <c r="AS768" i="1"/>
  <c r="AT768" i="1"/>
  <c r="B769" i="1"/>
  <c r="C769" i="1"/>
  <c r="D769" i="1"/>
  <c r="E769" i="1"/>
  <c r="F769" i="1"/>
  <c r="H769" i="1"/>
  <c r="I769" i="1"/>
  <c r="J769" i="1"/>
  <c r="K769" i="1"/>
  <c r="L769" i="1"/>
  <c r="M769" i="1"/>
  <c r="N769" i="1"/>
  <c r="O769" i="1"/>
  <c r="W769" i="1"/>
  <c r="Y769" i="1"/>
  <c r="Z769" i="1"/>
  <c r="AA769" i="1"/>
  <c r="AC769" i="1"/>
  <c r="AE769" i="1"/>
  <c r="AF769" i="1"/>
  <c r="AG769" i="1"/>
  <c r="AK769" i="1"/>
  <c r="AS769" i="1"/>
  <c r="AT769" i="1"/>
  <c r="B770" i="1"/>
  <c r="C770" i="1"/>
  <c r="D770" i="1"/>
  <c r="E770" i="1"/>
  <c r="F770" i="1"/>
  <c r="H770" i="1"/>
  <c r="I770" i="1"/>
  <c r="J770" i="1"/>
  <c r="K770" i="1"/>
  <c r="L770" i="1"/>
  <c r="M770" i="1"/>
  <c r="N770" i="1"/>
  <c r="O770" i="1"/>
  <c r="W770" i="1"/>
  <c r="Y770" i="1"/>
  <c r="Z770" i="1"/>
  <c r="AA770" i="1"/>
  <c r="AC770" i="1"/>
  <c r="AE770" i="1"/>
  <c r="AF770" i="1"/>
  <c r="AG770" i="1"/>
  <c r="AK770" i="1"/>
  <c r="AS770" i="1"/>
  <c r="AT770" i="1"/>
  <c r="B771" i="1"/>
  <c r="C771" i="1"/>
  <c r="D771" i="1"/>
  <c r="E771" i="1"/>
  <c r="F771" i="1"/>
  <c r="H771" i="1"/>
  <c r="I771" i="1"/>
  <c r="J771" i="1"/>
  <c r="K771" i="1"/>
  <c r="L771" i="1"/>
  <c r="M771" i="1"/>
  <c r="N771" i="1"/>
  <c r="O771" i="1"/>
  <c r="W771" i="1"/>
  <c r="Y771" i="1"/>
  <c r="Z771" i="1"/>
  <c r="AA771" i="1"/>
  <c r="AC771" i="1"/>
  <c r="AE771" i="1"/>
  <c r="AF771" i="1"/>
  <c r="AG771" i="1"/>
  <c r="AK771" i="1"/>
  <c r="AS771" i="1"/>
  <c r="AT771" i="1"/>
  <c r="B772" i="1"/>
  <c r="C772" i="1"/>
  <c r="D772" i="1"/>
  <c r="E772" i="1"/>
  <c r="F772" i="1"/>
  <c r="H772" i="1"/>
  <c r="I772" i="1"/>
  <c r="J772" i="1"/>
  <c r="K772" i="1"/>
  <c r="L772" i="1"/>
  <c r="M772" i="1"/>
  <c r="N772" i="1"/>
  <c r="O772" i="1"/>
  <c r="W772" i="1"/>
  <c r="Y772" i="1"/>
  <c r="Z772" i="1"/>
  <c r="AA772" i="1"/>
  <c r="AC772" i="1"/>
  <c r="AE772" i="1"/>
  <c r="AF772" i="1"/>
  <c r="AG772" i="1"/>
  <c r="AK772" i="1"/>
  <c r="AS772" i="1"/>
  <c r="AT772" i="1"/>
  <c r="B773" i="1"/>
  <c r="C773" i="1"/>
  <c r="D773" i="1"/>
  <c r="E773" i="1"/>
  <c r="F773" i="1"/>
  <c r="G773" i="1"/>
  <c r="H773" i="1"/>
  <c r="I773" i="1"/>
  <c r="J773" i="1"/>
  <c r="K773" i="1"/>
  <c r="L773" i="1"/>
  <c r="M773" i="1"/>
  <c r="N773" i="1"/>
  <c r="O773" i="1"/>
  <c r="S773" i="1"/>
  <c r="T773" i="1"/>
  <c r="U773" i="1"/>
  <c r="W773" i="1"/>
  <c r="Y773" i="1"/>
  <c r="Z773" i="1"/>
  <c r="AA773" i="1"/>
  <c r="AC773" i="1"/>
  <c r="AE773" i="1"/>
  <c r="AF773" i="1"/>
  <c r="AG773" i="1"/>
  <c r="AK773" i="1"/>
  <c r="AS773" i="1"/>
  <c r="AT773" i="1"/>
  <c r="B774" i="1"/>
  <c r="C774" i="1"/>
  <c r="D774" i="1"/>
  <c r="E774" i="1"/>
  <c r="F774" i="1"/>
  <c r="H774" i="1"/>
  <c r="I774" i="1"/>
  <c r="J774" i="1"/>
  <c r="K774" i="1"/>
  <c r="L774" i="1"/>
  <c r="M774" i="1"/>
  <c r="N774" i="1"/>
  <c r="O774" i="1"/>
  <c r="W774" i="1"/>
  <c r="Y774" i="1"/>
  <c r="Z774" i="1"/>
  <c r="AA774" i="1"/>
  <c r="AC774" i="1"/>
  <c r="AE774" i="1"/>
  <c r="AF774" i="1"/>
  <c r="AG774" i="1"/>
  <c r="AK774" i="1"/>
  <c r="AS774" i="1"/>
  <c r="AT774" i="1"/>
  <c r="B775" i="1"/>
  <c r="C775" i="1"/>
  <c r="D775" i="1"/>
  <c r="E775" i="1"/>
  <c r="F775" i="1"/>
  <c r="H775" i="1"/>
  <c r="I775" i="1"/>
  <c r="J775" i="1"/>
  <c r="K775" i="1"/>
  <c r="L775" i="1"/>
  <c r="M775" i="1"/>
  <c r="N775" i="1"/>
  <c r="O775" i="1"/>
  <c r="W775" i="1"/>
  <c r="Y775" i="1"/>
  <c r="Z775" i="1"/>
  <c r="AA775" i="1"/>
  <c r="AC775" i="1"/>
  <c r="AE775" i="1"/>
  <c r="AF775" i="1"/>
  <c r="AG775" i="1"/>
  <c r="AK775" i="1"/>
  <c r="AS775" i="1"/>
  <c r="AT775" i="1"/>
  <c r="B776" i="1"/>
  <c r="C776" i="1"/>
  <c r="D776" i="1"/>
  <c r="E776" i="1"/>
  <c r="F776" i="1"/>
  <c r="H776" i="1"/>
  <c r="I776" i="1"/>
  <c r="J776" i="1"/>
  <c r="K776" i="1"/>
  <c r="L776" i="1"/>
  <c r="M776" i="1"/>
  <c r="N776" i="1"/>
  <c r="O776" i="1"/>
  <c r="S776" i="1"/>
  <c r="T776" i="1"/>
  <c r="U776" i="1"/>
  <c r="V776" i="1"/>
  <c r="W776" i="1"/>
  <c r="Y776" i="1"/>
  <c r="Z776" i="1"/>
  <c r="AA776" i="1"/>
  <c r="AC776" i="1"/>
  <c r="AE776" i="1"/>
  <c r="AF776" i="1"/>
  <c r="AG776" i="1"/>
  <c r="AK776" i="1"/>
  <c r="AS776" i="1"/>
  <c r="AT776" i="1"/>
  <c r="B777" i="1"/>
  <c r="C777" i="1"/>
  <c r="D777" i="1"/>
  <c r="E777" i="1"/>
  <c r="F777" i="1"/>
  <c r="H777" i="1"/>
  <c r="I777" i="1"/>
  <c r="J777" i="1"/>
  <c r="K777" i="1"/>
  <c r="L777" i="1"/>
  <c r="M777" i="1"/>
  <c r="N777" i="1"/>
  <c r="O777" i="1"/>
  <c r="W777" i="1"/>
  <c r="Y777" i="1"/>
  <c r="Z777" i="1"/>
  <c r="AA777" i="1"/>
  <c r="AC777" i="1"/>
  <c r="AE777" i="1"/>
  <c r="AF777" i="1"/>
  <c r="AG777" i="1"/>
  <c r="AK777" i="1"/>
  <c r="AS777" i="1"/>
  <c r="AT777" i="1"/>
  <c r="B778" i="1"/>
  <c r="C778" i="1"/>
  <c r="D778" i="1"/>
  <c r="E778" i="1"/>
  <c r="F778" i="1"/>
  <c r="H778" i="1"/>
  <c r="I778" i="1"/>
  <c r="J778" i="1"/>
  <c r="K778" i="1"/>
  <c r="L778" i="1"/>
  <c r="M778" i="1"/>
  <c r="N778" i="1"/>
  <c r="O778" i="1"/>
  <c r="W778" i="1"/>
  <c r="Y778" i="1"/>
  <c r="Z778" i="1"/>
  <c r="AA778" i="1"/>
  <c r="AC778" i="1"/>
  <c r="AE778" i="1"/>
  <c r="AF778" i="1"/>
  <c r="AG778" i="1"/>
  <c r="AK778" i="1"/>
  <c r="AS778" i="1"/>
  <c r="AT778" i="1"/>
  <c r="B779" i="1"/>
  <c r="C779" i="1"/>
  <c r="D779" i="1"/>
  <c r="E779" i="1"/>
  <c r="F779" i="1"/>
  <c r="H779" i="1"/>
  <c r="I779" i="1"/>
  <c r="J779" i="1"/>
  <c r="K779" i="1"/>
  <c r="L779" i="1"/>
  <c r="M779" i="1"/>
  <c r="N779" i="1"/>
  <c r="O779" i="1"/>
  <c r="W779" i="1"/>
  <c r="Y779" i="1"/>
  <c r="Z779" i="1"/>
  <c r="AA779" i="1"/>
  <c r="AC779" i="1"/>
  <c r="AE779" i="1"/>
  <c r="AF779" i="1"/>
  <c r="AG779" i="1"/>
  <c r="AK779" i="1"/>
  <c r="AS779" i="1"/>
  <c r="AT779" i="1"/>
  <c r="B780" i="1"/>
  <c r="C780" i="1"/>
  <c r="D780" i="1"/>
  <c r="E780" i="1"/>
  <c r="F780" i="1"/>
  <c r="G780" i="1"/>
  <c r="H780" i="1"/>
  <c r="I780" i="1"/>
  <c r="J780" i="1"/>
  <c r="K780" i="1"/>
  <c r="L780" i="1"/>
  <c r="M780" i="1"/>
  <c r="N780" i="1"/>
  <c r="O780" i="1"/>
  <c r="W780" i="1"/>
  <c r="Y780" i="1"/>
  <c r="Z780" i="1"/>
  <c r="AA780" i="1"/>
  <c r="AC780" i="1"/>
  <c r="AE780" i="1"/>
  <c r="AF780" i="1"/>
  <c r="AG780" i="1"/>
  <c r="AK780" i="1"/>
  <c r="AS780" i="1"/>
  <c r="AT780" i="1"/>
  <c r="B781" i="1"/>
  <c r="C781" i="1"/>
  <c r="D781" i="1"/>
  <c r="E781" i="1"/>
  <c r="F781" i="1"/>
  <c r="H781" i="1"/>
  <c r="I781" i="1"/>
  <c r="J781" i="1"/>
  <c r="K781" i="1"/>
  <c r="L781" i="1"/>
  <c r="M781" i="1"/>
  <c r="N781" i="1"/>
  <c r="O781" i="1"/>
  <c r="W781" i="1"/>
  <c r="Y781" i="1"/>
  <c r="Z781" i="1"/>
  <c r="AA781" i="1"/>
  <c r="AC781" i="1"/>
  <c r="AE781" i="1"/>
  <c r="AF781" i="1"/>
  <c r="AG781" i="1"/>
  <c r="AK781" i="1"/>
  <c r="AS781" i="1"/>
  <c r="AT781" i="1"/>
  <c r="B782" i="1"/>
  <c r="C782" i="1"/>
  <c r="D782" i="1"/>
  <c r="E782" i="1"/>
  <c r="F782" i="1"/>
  <c r="H782" i="1"/>
  <c r="I782" i="1"/>
  <c r="J782" i="1"/>
  <c r="K782" i="1"/>
  <c r="L782" i="1"/>
  <c r="M782" i="1"/>
  <c r="N782" i="1"/>
  <c r="O782" i="1"/>
  <c r="W782" i="1"/>
  <c r="Y782" i="1"/>
  <c r="Z782" i="1"/>
  <c r="AA782" i="1"/>
  <c r="AC782" i="1"/>
  <c r="AE782" i="1"/>
  <c r="AF782" i="1"/>
  <c r="AG782" i="1"/>
  <c r="AK782" i="1"/>
  <c r="AS782" i="1"/>
  <c r="AT782" i="1"/>
  <c r="B783" i="1"/>
  <c r="C783" i="1"/>
  <c r="D783" i="1"/>
  <c r="E783" i="1"/>
  <c r="F783" i="1"/>
  <c r="H783" i="1"/>
  <c r="I783" i="1"/>
  <c r="J783" i="1"/>
  <c r="K783" i="1"/>
  <c r="L783" i="1"/>
  <c r="M783" i="1"/>
  <c r="N783" i="1"/>
  <c r="O783" i="1"/>
  <c r="W783" i="1"/>
  <c r="Y783" i="1"/>
  <c r="Z783" i="1"/>
  <c r="AA783" i="1"/>
  <c r="AC783" i="1"/>
  <c r="AE783" i="1"/>
  <c r="AF783" i="1"/>
  <c r="AG783" i="1"/>
  <c r="AK783" i="1"/>
  <c r="AS783" i="1"/>
  <c r="AT783" i="1"/>
  <c r="B784" i="1"/>
  <c r="C784" i="1"/>
  <c r="D784" i="1"/>
  <c r="E784" i="1"/>
  <c r="F784" i="1"/>
  <c r="H784" i="1"/>
  <c r="I784" i="1"/>
  <c r="J784" i="1"/>
  <c r="K784" i="1"/>
  <c r="L784" i="1"/>
  <c r="M784" i="1"/>
  <c r="N784" i="1"/>
  <c r="O784" i="1"/>
  <c r="W784" i="1"/>
  <c r="Y784" i="1"/>
  <c r="Z784" i="1"/>
  <c r="AA784" i="1"/>
  <c r="AC784" i="1"/>
  <c r="AE784" i="1"/>
  <c r="AF784" i="1"/>
  <c r="AG784" i="1"/>
  <c r="AK784" i="1"/>
  <c r="AS784" i="1"/>
  <c r="AT784" i="1"/>
  <c r="B785" i="1"/>
  <c r="C785" i="1"/>
  <c r="D785" i="1"/>
  <c r="E785" i="1"/>
  <c r="F785" i="1"/>
  <c r="H785" i="1"/>
  <c r="I785" i="1"/>
  <c r="J785" i="1"/>
  <c r="K785" i="1"/>
  <c r="L785" i="1"/>
  <c r="M785" i="1"/>
  <c r="N785" i="1"/>
  <c r="O785" i="1"/>
  <c r="W785" i="1"/>
  <c r="Y785" i="1"/>
  <c r="Z785" i="1"/>
  <c r="AA785" i="1"/>
  <c r="AC785" i="1"/>
  <c r="AE785" i="1"/>
  <c r="AF785" i="1"/>
  <c r="AG785" i="1"/>
  <c r="AK785" i="1"/>
  <c r="AS785" i="1"/>
  <c r="AT785" i="1"/>
  <c r="B786" i="1"/>
  <c r="C786" i="1"/>
  <c r="D786" i="1"/>
  <c r="E786" i="1"/>
  <c r="F786" i="1"/>
  <c r="H786" i="1"/>
  <c r="I786" i="1"/>
  <c r="J786" i="1"/>
  <c r="K786" i="1"/>
  <c r="L786" i="1"/>
  <c r="M786" i="1"/>
  <c r="N786" i="1"/>
  <c r="O786" i="1"/>
  <c r="W786" i="1"/>
  <c r="Y786" i="1"/>
  <c r="Z786" i="1"/>
  <c r="AA786" i="1"/>
  <c r="AC786" i="1"/>
  <c r="AE786" i="1"/>
  <c r="AF786" i="1"/>
  <c r="AG786" i="1"/>
  <c r="AK786" i="1"/>
  <c r="AS786" i="1"/>
  <c r="AT786" i="1"/>
  <c r="B787" i="1"/>
  <c r="C787" i="1"/>
  <c r="D787" i="1"/>
  <c r="E787" i="1"/>
  <c r="F787" i="1"/>
  <c r="H787" i="1"/>
  <c r="I787" i="1"/>
  <c r="J787" i="1"/>
  <c r="K787" i="1"/>
  <c r="L787" i="1"/>
  <c r="M787" i="1"/>
  <c r="N787" i="1"/>
  <c r="O787" i="1"/>
  <c r="W787" i="1"/>
  <c r="Y787" i="1"/>
  <c r="Z787" i="1"/>
  <c r="AA787" i="1"/>
  <c r="AC787" i="1"/>
  <c r="AE787" i="1"/>
  <c r="AF787" i="1"/>
  <c r="AG787" i="1"/>
  <c r="AK787" i="1"/>
  <c r="AS787" i="1"/>
  <c r="AT787" i="1"/>
  <c r="B788" i="1"/>
  <c r="C788" i="1"/>
  <c r="D788" i="1"/>
  <c r="E788" i="1"/>
  <c r="F788" i="1"/>
  <c r="G788" i="1"/>
  <c r="H788" i="1"/>
  <c r="I788" i="1"/>
  <c r="J788" i="1"/>
  <c r="K788" i="1"/>
  <c r="L788" i="1"/>
  <c r="M788" i="1"/>
  <c r="N788" i="1"/>
  <c r="O788" i="1"/>
  <c r="W788" i="1"/>
  <c r="Y788" i="1"/>
  <c r="Z788" i="1"/>
  <c r="AA788" i="1"/>
  <c r="AC788" i="1"/>
  <c r="AE788" i="1"/>
  <c r="AF788" i="1"/>
  <c r="AG788" i="1"/>
  <c r="AK788" i="1"/>
  <c r="AS788" i="1"/>
  <c r="AT788" i="1"/>
  <c r="B789" i="1"/>
  <c r="C789" i="1"/>
  <c r="D789" i="1"/>
  <c r="E789" i="1"/>
  <c r="F789" i="1"/>
  <c r="G789" i="1"/>
  <c r="H789" i="1"/>
  <c r="I789" i="1"/>
  <c r="J789" i="1"/>
  <c r="K789" i="1"/>
  <c r="L789" i="1"/>
  <c r="M789" i="1"/>
  <c r="N789" i="1"/>
  <c r="O789" i="1"/>
  <c r="W789" i="1"/>
  <c r="Y789" i="1"/>
  <c r="Z789" i="1"/>
  <c r="AA789" i="1"/>
  <c r="AC789" i="1"/>
  <c r="AE789" i="1"/>
  <c r="AF789" i="1"/>
  <c r="AG789" i="1"/>
  <c r="AK789" i="1"/>
  <c r="AS789" i="1"/>
  <c r="AT789" i="1"/>
  <c r="B790" i="1"/>
  <c r="C790" i="1"/>
  <c r="D790" i="1"/>
  <c r="E790" i="1"/>
  <c r="F790" i="1"/>
  <c r="G790" i="1"/>
  <c r="H790" i="1"/>
  <c r="I790" i="1"/>
  <c r="J790" i="1"/>
  <c r="K790" i="1"/>
  <c r="L790" i="1"/>
  <c r="M790" i="1"/>
  <c r="N790" i="1"/>
  <c r="O790" i="1"/>
  <c r="W790" i="1"/>
  <c r="Y790" i="1"/>
  <c r="Z790" i="1"/>
  <c r="AA790" i="1"/>
  <c r="AC790" i="1"/>
  <c r="AE790" i="1"/>
  <c r="AF790" i="1"/>
  <c r="AG790" i="1"/>
  <c r="AK790" i="1"/>
  <c r="AS790" i="1"/>
  <c r="AT790" i="1"/>
  <c r="B791" i="1"/>
  <c r="C791" i="1"/>
  <c r="D791" i="1"/>
  <c r="E791" i="1"/>
  <c r="F791" i="1"/>
  <c r="H791" i="1"/>
  <c r="I791" i="1"/>
  <c r="J791" i="1"/>
  <c r="K791" i="1"/>
  <c r="L791" i="1"/>
  <c r="M791" i="1"/>
  <c r="N791" i="1"/>
  <c r="O791" i="1"/>
  <c r="S791" i="1"/>
  <c r="T791" i="1"/>
  <c r="U791" i="1"/>
  <c r="W791" i="1"/>
  <c r="Y791" i="1"/>
  <c r="Z791" i="1"/>
  <c r="AA791" i="1"/>
  <c r="AC791" i="1"/>
  <c r="AE791" i="1"/>
  <c r="AF791" i="1"/>
  <c r="AG791" i="1"/>
  <c r="AK791" i="1"/>
  <c r="AS791" i="1"/>
  <c r="AT791" i="1"/>
  <c r="B792" i="1"/>
  <c r="C792" i="1"/>
  <c r="D792" i="1"/>
  <c r="E792" i="1"/>
  <c r="F792" i="1"/>
  <c r="H792" i="1"/>
  <c r="I792" i="1"/>
  <c r="J792" i="1"/>
  <c r="K792" i="1"/>
  <c r="L792" i="1"/>
  <c r="M792" i="1"/>
  <c r="N792" i="1"/>
  <c r="O792" i="1"/>
  <c r="W792" i="1"/>
  <c r="Y792" i="1"/>
  <c r="Z792" i="1"/>
  <c r="AA792" i="1"/>
  <c r="AC792" i="1"/>
  <c r="AE792" i="1"/>
  <c r="AF792" i="1"/>
  <c r="AG792" i="1"/>
  <c r="AK792" i="1"/>
  <c r="AS792" i="1"/>
  <c r="AT792" i="1"/>
  <c r="B793" i="1"/>
  <c r="C793" i="1"/>
  <c r="D793" i="1"/>
  <c r="E793" i="1"/>
  <c r="F793" i="1"/>
  <c r="H793" i="1"/>
  <c r="I793" i="1"/>
  <c r="J793" i="1"/>
  <c r="K793" i="1"/>
  <c r="L793" i="1"/>
  <c r="M793" i="1"/>
  <c r="N793" i="1"/>
  <c r="O793" i="1"/>
  <c r="W793" i="1"/>
  <c r="Y793" i="1"/>
  <c r="Z793" i="1"/>
  <c r="AA793" i="1"/>
  <c r="AC793" i="1"/>
  <c r="AE793" i="1"/>
  <c r="AF793" i="1"/>
  <c r="AG793" i="1"/>
  <c r="AK793" i="1"/>
  <c r="AS793" i="1"/>
  <c r="AT793" i="1"/>
  <c r="B794" i="1"/>
  <c r="C794" i="1"/>
  <c r="D794" i="1"/>
  <c r="E794" i="1"/>
  <c r="F794" i="1"/>
  <c r="H794" i="1"/>
  <c r="I794" i="1"/>
  <c r="J794" i="1"/>
  <c r="K794" i="1"/>
  <c r="L794" i="1"/>
  <c r="M794" i="1"/>
  <c r="N794" i="1"/>
  <c r="O794" i="1"/>
  <c r="W794" i="1"/>
  <c r="Y794" i="1"/>
  <c r="Z794" i="1"/>
  <c r="AA794" i="1"/>
  <c r="AC794" i="1"/>
  <c r="AE794" i="1"/>
  <c r="AF794" i="1"/>
  <c r="AG794" i="1"/>
  <c r="AK794" i="1"/>
  <c r="AS794" i="1"/>
  <c r="AT794" i="1"/>
  <c r="B795" i="1"/>
  <c r="C795" i="1"/>
  <c r="D795" i="1"/>
  <c r="E795" i="1"/>
  <c r="F795" i="1"/>
  <c r="G795" i="1"/>
  <c r="H795" i="1"/>
  <c r="I795" i="1"/>
  <c r="J795" i="1"/>
  <c r="K795" i="1"/>
  <c r="L795" i="1"/>
  <c r="M795" i="1"/>
  <c r="N795" i="1"/>
  <c r="O795" i="1"/>
  <c r="W795" i="1"/>
  <c r="Y795" i="1"/>
  <c r="Z795" i="1"/>
  <c r="AA795" i="1"/>
  <c r="AC795" i="1"/>
  <c r="AE795" i="1"/>
  <c r="AF795" i="1"/>
  <c r="AG795" i="1"/>
  <c r="AK795" i="1"/>
  <c r="AS795" i="1"/>
  <c r="AT795" i="1"/>
  <c r="B796" i="1"/>
  <c r="C796" i="1"/>
  <c r="D796" i="1"/>
  <c r="E796" i="1"/>
  <c r="F796" i="1"/>
  <c r="H796" i="1"/>
  <c r="I796" i="1"/>
  <c r="J796" i="1"/>
  <c r="K796" i="1"/>
  <c r="L796" i="1"/>
  <c r="M796" i="1"/>
  <c r="N796" i="1"/>
  <c r="O796" i="1"/>
  <c r="W796" i="1"/>
  <c r="Y796" i="1"/>
  <c r="Z796" i="1"/>
  <c r="AA796" i="1"/>
  <c r="AC796" i="1"/>
  <c r="AE796" i="1"/>
  <c r="AF796" i="1"/>
  <c r="AG796" i="1"/>
  <c r="AK796" i="1"/>
  <c r="AS796" i="1"/>
  <c r="AT796" i="1"/>
  <c r="B797" i="1"/>
  <c r="C797" i="1"/>
  <c r="D797" i="1"/>
  <c r="E797" i="1"/>
  <c r="F797" i="1"/>
  <c r="H797" i="1"/>
  <c r="I797" i="1"/>
  <c r="J797" i="1"/>
  <c r="K797" i="1"/>
  <c r="L797" i="1"/>
  <c r="M797" i="1"/>
  <c r="N797" i="1"/>
  <c r="O797" i="1"/>
  <c r="S797" i="1"/>
  <c r="U797" i="1"/>
  <c r="V797" i="1"/>
  <c r="W797" i="1"/>
  <c r="Y797" i="1"/>
  <c r="Z797" i="1"/>
  <c r="AA797" i="1"/>
  <c r="AC797" i="1"/>
  <c r="AE797" i="1"/>
  <c r="AF797" i="1"/>
  <c r="AG797" i="1"/>
  <c r="AK797" i="1"/>
  <c r="AS797" i="1"/>
  <c r="AT797" i="1"/>
  <c r="B798" i="1"/>
  <c r="C798" i="1"/>
  <c r="D798" i="1"/>
  <c r="E798" i="1"/>
  <c r="F798" i="1"/>
  <c r="H798" i="1"/>
  <c r="I798" i="1"/>
  <c r="J798" i="1"/>
  <c r="K798" i="1"/>
  <c r="L798" i="1"/>
  <c r="M798" i="1"/>
  <c r="N798" i="1"/>
  <c r="O798" i="1"/>
  <c r="W798" i="1"/>
  <c r="Y798" i="1"/>
  <c r="Z798" i="1"/>
  <c r="AA798" i="1"/>
  <c r="AC798" i="1"/>
  <c r="AE798" i="1"/>
  <c r="AF798" i="1"/>
  <c r="AG798" i="1"/>
  <c r="AK798" i="1"/>
  <c r="AS798" i="1"/>
  <c r="AT798" i="1"/>
  <c r="B799" i="1"/>
  <c r="C799" i="1"/>
  <c r="D799" i="1"/>
  <c r="E799" i="1"/>
  <c r="F799" i="1"/>
  <c r="H799" i="1"/>
  <c r="I799" i="1"/>
  <c r="J799" i="1"/>
  <c r="K799" i="1"/>
  <c r="L799" i="1"/>
  <c r="M799" i="1"/>
  <c r="N799" i="1"/>
  <c r="O799" i="1"/>
  <c r="W799" i="1"/>
  <c r="Y799" i="1"/>
  <c r="Z799" i="1"/>
  <c r="AA799" i="1"/>
  <c r="AC799" i="1"/>
  <c r="AE799" i="1"/>
  <c r="AF799" i="1"/>
  <c r="AG799" i="1"/>
  <c r="AK799" i="1"/>
  <c r="AS799" i="1"/>
  <c r="AT799" i="1"/>
  <c r="B800" i="1"/>
  <c r="C800" i="1"/>
  <c r="D800" i="1"/>
  <c r="E800" i="1"/>
  <c r="F800" i="1"/>
  <c r="H800" i="1"/>
  <c r="I800" i="1"/>
  <c r="J800" i="1"/>
  <c r="K800" i="1"/>
  <c r="L800" i="1"/>
  <c r="M800" i="1"/>
  <c r="N800" i="1"/>
  <c r="O800" i="1"/>
  <c r="W800" i="1"/>
  <c r="Y800" i="1"/>
  <c r="Z800" i="1"/>
  <c r="AA800" i="1"/>
  <c r="AC800" i="1"/>
  <c r="AE800" i="1"/>
  <c r="AF800" i="1"/>
  <c r="AG800" i="1"/>
  <c r="AK800" i="1"/>
  <c r="AS800" i="1"/>
  <c r="AT800" i="1"/>
  <c r="B801" i="1"/>
  <c r="C801" i="1"/>
  <c r="D801" i="1"/>
  <c r="E801" i="1"/>
  <c r="F801" i="1"/>
  <c r="H801" i="1"/>
  <c r="I801" i="1"/>
  <c r="J801" i="1"/>
  <c r="K801" i="1"/>
  <c r="L801" i="1"/>
  <c r="M801" i="1"/>
  <c r="N801" i="1"/>
  <c r="O801" i="1"/>
  <c r="W801" i="1"/>
  <c r="Y801" i="1"/>
  <c r="Z801" i="1"/>
  <c r="AA801" i="1"/>
  <c r="AC801" i="1"/>
  <c r="AE801" i="1"/>
  <c r="AF801" i="1"/>
  <c r="AG801" i="1"/>
  <c r="AK801" i="1"/>
  <c r="AS801" i="1"/>
  <c r="AT801" i="1"/>
  <c r="B802" i="1"/>
  <c r="C802" i="1"/>
  <c r="D802" i="1"/>
  <c r="E802" i="1"/>
  <c r="F802" i="1"/>
  <c r="G802" i="1"/>
  <c r="H802" i="1"/>
  <c r="I802" i="1"/>
  <c r="J802" i="1"/>
  <c r="K802" i="1"/>
  <c r="L802" i="1"/>
  <c r="M802" i="1"/>
  <c r="N802" i="1"/>
  <c r="O802" i="1"/>
  <c r="W802" i="1"/>
  <c r="Y802" i="1"/>
  <c r="Z802" i="1"/>
  <c r="AA802" i="1"/>
  <c r="AC802" i="1"/>
  <c r="AE802" i="1"/>
  <c r="AF802" i="1"/>
  <c r="AG802" i="1"/>
  <c r="AK802" i="1"/>
  <c r="AS802" i="1"/>
  <c r="AT802" i="1"/>
  <c r="B803" i="1"/>
  <c r="C803" i="1"/>
  <c r="D803" i="1"/>
  <c r="E803" i="1"/>
  <c r="F803" i="1"/>
  <c r="G803" i="1"/>
  <c r="H803" i="1"/>
  <c r="I803" i="1"/>
  <c r="J803" i="1"/>
  <c r="K803" i="1"/>
  <c r="L803" i="1"/>
  <c r="M803" i="1"/>
  <c r="N803" i="1"/>
  <c r="O803" i="1"/>
  <c r="W803" i="1"/>
  <c r="Y803" i="1"/>
  <c r="Z803" i="1"/>
  <c r="AA803" i="1"/>
  <c r="AC803" i="1"/>
  <c r="AE803" i="1"/>
  <c r="AF803" i="1"/>
  <c r="AG803" i="1"/>
  <c r="AK803" i="1"/>
  <c r="AS803" i="1"/>
  <c r="AT803" i="1"/>
  <c r="B804" i="1"/>
  <c r="C804" i="1"/>
  <c r="D804" i="1"/>
  <c r="E804" i="1"/>
  <c r="F804" i="1"/>
  <c r="H804" i="1"/>
  <c r="I804" i="1"/>
  <c r="J804" i="1"/>
  <c r="K804" i="1"/>
  <c r="L804" i="1"/>
  <c r="M804" i="1"/>
  <c r="N804" i="1"/>
  <c r="O804" i="1"/>
  <c r="S804" i="1"/>
  <c r="T804" i="1"/>
  <c r="U804" i="1"/>
  <c r="W804" i="1"/>
  <c r="Y804" i="1"/>
  <c r="Z804" i="1"/>
  <c r="AA804" i="1"/>
  <c r="AC804" i="1"/>
  <c r="AE804" i="1"/>
  <c r="AF804" i="1"/>
  <c r="AG804" i="1"/>
  <c r="AK804" i="1"/>
  <c r="AS804" i="1"/>
  <c r="AT804" i="1"/>
  <c r="B805" i="1"/>
  <c r="C805" i="1"/>
  <c r="D805" i="1"/>
  <c r="E805" i="1"/>
  <c r="F805" i="1"/>
  <c r="H805" i="1"/>
  <c r="I805" i="1"/>
  <c r="K805" i="1"/>
  <c r="L805" i="1"/>
  <c r="M805" i="1"/>
  <c r="N805" i="1"/>
  <c r="O805" i="1"/>
  <c r="W805" i="1"/>
  <c r="Y805" i="1"/>
  <c r="Z805" i="1"/>
  <c r="AA805" i="1"/>
  <c r="AC805" i="1"/>
  <c r="AE805" i="1"/>
  <c r="AF805" i="1"/>
  <c r="AG805" i="1"/>
  <c r="AK805" i="1"/>
  <c r="AS805" i="1"/>
  <c r="AT805" i="1"/>
  <c r="B806" i="1"/>
  <c r="C806" i="1"/>
  <c r="D806" i="1"/>
  <c r="E806" i="1"/>
  <c r="F806" i="1"/>
  <c r="H806" i="1"/>
  <c r="I806" i="1"/>
  <c r="J806" i="1"/>
  <c r="K806" i="1"/>
  <c r="L806" i="1"/>
  <c r="M806" i="1"/>
  <c r="N806" i="1"/>
  <c r="O806" i="1"/>
  <c r="W806" i="1"/>
  <c r="Y806" i="1"/>
  <c r="Z806" i="1"/>
  <c r="AA806" i="1"/>
  <c r="AC806" i="1"/>
  <c r="AE806" i="1"/>
  <c r="AF806" i="1"/>
  <c r="AG806" i="1"/>
  <c r="AK806" i="1"/>
  <c r="AS806" i="1"/>
  <c r="AT806" i="1"/>
  <c r="B807" i="1"/>
  <c r="C807" i="1"/>
  <c r="D807" i="1"/>
  <c r="E807" i="1"/>
  <c r="F807" i="1"/>
  <c r="G807" i="1"/>
  <c r="H807" i="1"/>
  <c r="I807" i="1"/>
  <c r="J807" i="1"/>
  <c r="K807" i="1"/>
  <c r="L807" i="1"/>
  <c r="M807" i="1"/>
  <c r="N807" i="1"/>
  <c r="O807" i="1"/>
  <c r="W807" i="1"/>
  <c r="Y807" i="1"/>
  <c r="Z807" i="1"/>
  <c r="AA807" i="1"/>
  <c r="AC807" i="1"/>
  <c r="AE807" i="1"/>
  <c r="AF807" i="1"/>
  <c r="AG807" i="1"/>
  <c r="AK807" i="1"/>
  <c r="AS807" i="1"/>
  <c r="AT807" i="1"/>
  <c r="B808" i="1"/>
  <c r="C808" i="1"/>
  <c r="D808" i="1"/>
  <c r="E808" i="1"/>
  <c r="F808" i="1"/>
  <c r="H808" i="1"/>
  <c r="I808" i="1"/>
  <c r="J808" i="1"/>
  <c r="K808" i="1"/>
  <c r="L808" i="1"/>
  <c r="M808" i="1"/>
  <c r="N808" i="1"/>
  <c r="O808" i="1"/>
  <c r="W808" i="1"/>
  <c r="Y808" i="1"/>
  <c r="Z808" i="1"/>
  <c r="AA808" i="1"/>
  <c r="AC808" i="1"/>
  <c r="AE808" i="1"/>
  <c r="AF808" i="1"/>
  <c r="AG808" i="1"/>
  <c r="AK808" i="1"/>
  <c r="AS808" i="1"/>
  <c r="AT808" i="1"/>
  <c r="B809" i="1"/>
  <c r="C809" i="1"/>
  <c r="D809" i="1"/>
  <c r="E809" i="1"/>
  <c r="F809" i="1"/>
  <c r="H809" i="1"/>
  <c r="I809" i="1"/>
  <c r="J809" i="1"/>
  <c r="K809" i="1"/>
  <c r="L809" i="1"/>
  <c r="M809" i="1"/>
  <c r="N809" i="1"/>
  <c r="O809" i="1"/>
  <c r="W809" i="1"/>
  <c r="Y809" i="1"/>
  <c r="Z809" i="1"/>
  <c r="AA809" i="1"/>
  <c r="AC809" i="1"/>
  <c r="AE809" i="1"/>
  <c r="AF809" i="1"/>
  <c r="AG809" i="1"/>
  <c r="AK809" i="1"/>
  <c r="AS809" i="1"/>
  <c r="AT809" i="1"/>
  <c r="B810" i="1"/>
  <c r="C810" i="1"/>
  <c r="D810" i="1"/>
  <c r="E810" i="1"/>
  <c r="F810" i="1"/>
  <c r="G810" i="1"/>
  <c r="H810" i="1"/>
  <c r="I810" i="1"/>
  <c r="J810" i="1"/>
  <c r="K810" i="1"/>
  <c r="L810" i="1"/>
  <c r="M810" i="1"/>
  <c r="N810" i="1"/>
  <c r="O810" i="1"/>
  <c r="W810" i="1"/>
  <c r="Y810" i="1"/>
  <c r="Z810" i="1"/>
  <c r="AA810" i="1"/>
  <c r="AC810" i="1"/>
  <c r="AE810" i="1"/>
  <c r="AF810" i="1"/>
  <c r="AG810" i="1"/>
  <c r="AK810" i="1"/>
  <c r="AS810" i="1"/>
  <c r="AT810" i="1"/>
  <c r="B811" i="1"/>
  <c r="C811" i="1"/>
  <c r="D811" i="1"/>
  <c r="E811" i="1"/>
  <c r="F811" i="1"/>
  <c r="G811" i="1"/>
  <c r="H811" i="1"/>
  <c r="I811" i="1"/>
  <c r="J811" i="1"/>
  <c r="K811" i="1"/>
  <c r="L811" i="1"/>
  <c r="M811" i="1"/>
  <c r="N811" i="1"/>
  <c r="O811" i="1"/>
  <c r="W811" i="1"/>
  <c r="Y811" i="1"/>
  <c r="Z811" i="1"/>
  <c r="AA811" i="1"/>
  <c r="AC811" i="1"/>
  <c r="AE811" i="1"/>
  <c r="AF811" i="1"/>
  <c r="AG811" i="1"/>
  <c r="AK811" i="1"/>
  <c r="AS811" i="1"/>
  <c r="AT811" i="1"/>
  <c r="B812" i="1"/>
  <c r="C812" i="1"/>
  <c r="D812" i="1"/>
  <c r="E812" i="1"/>
  <c r="F812" i="1"/>
  <c r="G812" i="1"/>
  <c r="H812" i="1"/>
  <c r="I812" i="1"/>
  <c r="J812" i="1"/>
  <c r="K812" i="1"/>
  <c r="L812" i="1"/>
  <c r="M812" i="1"/>
  <c r="N812" i="1"/>
  <c r="O812" i="1"/>
  <c r="W812" i="1"/>
  <c r="Y812" i="1"/>
  <c r="Z812" i="1"/>
  <c r="AA812" i="1"/>
  <c r="AC812" i="1"/>
  <c r="AE812" i="1"/>
  <c r="AF812" i="1"/>
  <c r="AG812" i="1"/>
  <c r="AK812" i="1"/>
  <c r="AS812" i="1"/>
  <c r="AT812" i="1"/>
  <c r="B813" i="1"/>
  <c r="C813" i="1"/>
  <c r="D813" i="1"/>
  <c r="E813" i="1"/>
  <c r="F813" i="1"/>
  <c r="G813" i="1"/>
  <c r="H813" i="1"/>
  <c r="I813" i="1"/>
  <c r="J813" i="1"/>
  <c r="K813" i="1"/>
  <c r="L813" i="1"/>
  <c r="M813" i="1"/>
  <c r="N813" i="1"/>
  <c r="O813" i="1"/>
  <c r="W813" i="1"/>
  <c r="Y813" i="1"/>
  <c r="Z813" i="1"/>
  <c r="AA813" i="1"/>
  <c r="AC813" i="1"/>
  <c r="AE813" i="1"/>
  <c r="AF813" i="1"/>
  <c r="AG813" i="1"/>
  <c r="AK813" i="1"/>
  <c r="AS813" i="1"/>
  <c r="AT813" i="1"/>
  <c r="B814" i="1"/>
  <c r="C814" i="1"/>
  <c r="D814" i="1"/>
  <c r="E814" i="1"/>
  <c r="F814" i="1"/>
  <c r="H814" i="1"/>
  <c r="I814" i="1"/>
  <c r="J814" i="1"/>
  <c r="K814" i="1"/>
  <c r="L814" i="1"/>
  <c r="M814" i="1"/>
  <c r="N814" i="1"/>
  <c r="O814" i="1"/>
  <c r="S814" i="1"/>
  <c r="T814" i="1"/>
  <c r="U814" i="1"/>
  <c r="W814" i="1"/>
  <c r="Y814" i="1"/>
  <c r="Z814" i="1"/>
  <c r="AA814" i="1"/>
  <c r="AC814" i="1"/>
  <c r="AE814" i="1"/>
  <c r="AF814" i="1"/>
  <c r="AG814" i="1"/>
  <c r="AK814" i="1"/>
  <c r="AS814" i="1"/>
  <c r="AT814" i="1"/>
  <c r="B815" i="1"/>
  <c r="C815" i="1"/>
  <c r="D815" i="1"/>
  <c r="E815" i="1"/>
  <c r="F815" i="1"/>
  <c r="G815" i="1"/>
  <c r="H815" i="1"/>
  <c r="I815" i="1"/>
  <c r="J815" i="1"/>
  <c r="K815" i="1"/>
  <c r="L815" i="1"/>
  <c r="M815" i="1"/>
  <c r="N815" i="1"/>
  <c r="O815" i="1"/>
  <c r="W815" i="1"/>
  <c r="Y815" i="1"/>
  <c r="Z815" i="1"/>
  <c r="AA815" i="1"/>
  <c r="AC815" i="1"/>
  <c r="AE815" i="1"/>
  <c r="AF815" i="1"/>
  <c r="AG815" i="1"/>
  <c r="AK815" i="1"/>
  <c r="AS815" i="1"/>
  <c r="AT815" i="1"/>
  <c r="B816" i="1"/>
  <c r="C816" i="1"/>
  <c r="D816" i="1"/>
  <c r="E816" i="1"/>
  <c r="F816" i="1"/>
  <c r="G816" i="1"/>
  <c r="H816" i="1"/>
  <c r="I816" i="1"/>
  <c r="J816" i="1"/>
  <c r="K816" i="1"/>
  <c r="L816" i="1"/>
  <c r="M816" i="1"/>
  <c r="N816" i="1"/>
  <c r="O816" i="1"/>
  <c r="W816" i="1"/>
  <c r="Y816" i="1"/>
  <c r="Z816" i="1"/>
  <c r="AA816" i="1"/>
  <c r="AC816" i="1"/>
  <c r="AE816" i="1"/>
  <c r="AF816" i="1"/>
  <c r="AG816" i="1"/>
  <c r="AK816" i="1"/>
  <c r="AS816" i="1"/>
  <c r="AT816" i="1"/>
  <c r="B817" i="1"/>
  <c r="C817" i="1"/>
  <c r="D817" i="1"/>
  <c r="E817" i="1"/>
  <c r="F817" i="1"/>
  <c r="G817" i="1"/>
  <c r="H817" i="1"/>
  <c r="I817" i="1"/>
  <c r="J817" i="1"/>
  <c r="K817" i="1"/>
  <c r="L817" i="1"/>
  <c r="M817" i="1"/>
  <c r="N817" i="1"/>
  <c r="O817" i="1"/>
  <c r="W817" i="1"/>
  <c r="Y817" i="1"/>
  <c r="Z817" i="1"/>
  <c r="AA817" i="1"/>
  <c r="AC817" i="1"/>
  <c r="AE817" i="1"/>
  <c r="AF817" i="1"/>
  <c r="AG817" i="1"/>
  <c r="AK817" i="1"/>
  <c r="AS817" i="1"/>
  <c r="AT817" i="1"/>
  <c r="B818" i="1"/>
  <c r="C818" i="1"/>
  <c r="D818" i="1"/>
  <c r="E818" i="1"/>
  <c r="F818" i="1"/>
  <c r="H818" i="1"/>
  <c r="I818" i="1"/>
  <c r="J818" i="1"/>
  <c r="K818" i="1"/>
  <c r="L818" i="1"/>
  <c r="M818" i="1"/>
  <c r="N818" i="1"/>
  <c r="O818" i="1"/>
  <c r="W818" i="1"/>
  <c r="Y818" i="1"/>
  <c r="Z818" i="1"/>
  <c r="AA818" i="1"/>
  <c r="AC818" i="1"/>
  <c r="AE818" i="1"/>
  <c r="AF818" i="1"/>
  <c r="AG818" i="1"/>
  <c r="AK818" i="1"/>
  <c r="AS818" i="1"/>
  <c r="AT818" i="1"/>
  <c r="B819" i="1"/>
  <c r="C819" i="1"/>
  <c r="D819" i="1"/>
  <c r="E819" i="1"/>
  <c r="F819" i="1"/>
  <c r="G819" i="1"/>
  <c r="H819" i="1"/>
  <c r="I819" i="1"/>
  <c r="J819" i="1"/>
  <c r="K819" i="1"/>
  <c r="L819" i="1"/>
  <c r="M819" i="1"/>
  <c r="N819" i="1"/>
  <c r="O819" i="1"/>
  <c r="W819" i="1"/>
  <c r="Y819" i="1"/>
  <c r="Z819" i="1"/>
  <c r="AA819" i="1"/>
  <c r="AC819" i="1"/>
  <c r="AE819" i="1"/>
  <c r="AF819" i="1"/>
  <c r="AG819" i="1"/>
  <c r="AK819" i="1"/>
  <c r="AS819" i="1"/>
  <c r="AT819" i="1"/>
  <c r="B820" i="1"/>
  <c r="C820" i="1"/>
  <c r="D820" i="1"/>
  <c r="E820" i="1"/>
  <c r="F820" i="1"/>
  <c r="G820" i="1"/>
  <c r="H820" i="1"/>
  <c r="I820" i="1"/>
  <c r="J820" i="1"/>
  <c r="K820" i="1"/>
  <c r="L820" i="1"/>
  <c r="M820" i="1"/>
  <c r="N820" i="1"/>
  <c r="O820" i="1"/>
  <c r="W820" i="1"/>
  <c r="Y820" i="1"/>
  <c r="Z820" i="1"/>
  <c r="AA820" i="1"/>
  <c r="AC820" i="1"/>
  <c r="AE820" i="1"/>
  <c r="AF820" i="1"/>
  <c r="AG820" i="1"/>
  <c r="AK820" i="1"/>
  <c r="AS820" i="1"/>
  <c r="AT820" i="1"/>
  <c r="B821" i="1"/>
  <c r="C821" i="1"/>
  <c r="D821" i="1"/>
  <c r="E821" i="1"/>
  <c r="F821" i="1"/>
  <c r="G821" i="1"/>
  <c r="H821" i="1"/>
  <c r="I821" i="1"/>
  <c r="J821" i="1"/>
  <c r="K821" i="1"/>
  <c r="L821" i="1"/>
  <c r="M821" i="1"/>
  <c r="N821" i="1"/>
  <c r="O821" i="1"/>
  <c r="W821" i="1"/>
  <c r="Y821" i="1"/>
  <c r="Z821" i="1"/>
  <c r="AA821" i="1"/>
  <c r="AC821" i="1"/>
  <c r="AE821" i="1"/>
  <c r="AF821" i="1"/>
  <c r="AG821" i="1"/>
  <c r="AK821" i="1"/>
  <c r="AS821" i="1"/>
  <c r="AT821" i="1"/>
  <c r="B822" i="1"/>
  <c r="C822" i="1"/>
  <c r="D822" i="1"/>
  <c r="E822" i="1"/>
  <c r="F822" i="1"/>
  <c r="G822" i="1"/>
  <c r="H822" i="1"/>
  <c r="I822" i="1"/>
  <c r="J822" i="1"/>
  <c r="K822" i="1"/>
  <c r="L822" i="1"/>
  <c r="M822" i="1"/>
  <c r="N822" i="1"/>
  <c r="O822" i="1"/>
  <c r="W822" i="1"/>
  <c r="Y822" i="1"/>
  <c r="Z822" i="1"/>
  <c r="AA822" i="1"/>
  <c r="AC822" i="1"/>
  <c r="AE822" i="1"/>
  <c r="AF822" i="1"/>
  <c r="AG822" i="1"/>
  <c r="AK822" i="1"/>
  <c r="AS822" i="1"/>
  <c r="AT822" i="1"/>
  <c r="B823" i="1"/>
  <c r="C823" i="1"/>
  <c r="D823" i="1"/>
  <c r="E823" i="1"/>
  <c r="F823" i="1"/>
  <c r="H823" i="1"/>
  <c r="I823" i="1"/>
  <c r="J823" i="1"/>
  <c r="K823" i="1"/>
  <c r="L823" i="1"/>
  <c r="M823" i="1"/>
  <c r="N823" i="1"/>
  <c r="O823" i="1"/>
  <c r="S823" i="1"/>
  <c r="T823" i="1"/>
  <c r="U823" i="1"/>
  <c r="W823" i="1"/>
  <c r="Y823" i="1"/>
  <c r="Z823" i="1"/>
  <c r="AA823" i="1"/>
  <c r="AC823" i="1"/>
  <c r="AE823" i="1"/>
  <c r="AF823" i="1"/>
  <c r="AG823" i="1"/>
  <c r="AK823" i="1"/>
  <c r="AS823" i="1"/>
  <c r="AT823" i="1"/>
  <c r="B824" i="1"/>
  <c r="C824" i="1"/>
  <c r="D824" i="1"/>
  <c r="E824" i="1"/>
  <c r="F824" i="1"/>
  <c r="H824" i="1"/>
  <c r="I824" i="1"/>
  <c r="J824" i="1"/>
  <c r="K824" i="1"/>
  <c r="L824" i="1"/>
  <c r="M824" i="1"/>
  <c r="N824" i="1"/>
  <c r="O824" i="1"/>
  <c r="W824" i="1"/>
  <c r="Y824" i="1"/>
  <c r="Z824" i="1"/>
  <c r="AA824" i="1"/>
  <c r="AC824" i="1"/>
  <c r="AE824" i="1"/>
  <c r="AF824" i="1"/>
  <c r="AG824" i="1"/>
  <c r="AK824" i="1"/>
  <c r="AS824" i="1"/>
  <c r="AT824" i="1"/>
  <c r="B825" i="1"/>
  <c r="C825" i="1"/>
  <c r="D825" i="1"/>
  <c r="E825" i="1"/>
  <c r="F825" i="1"/>
  <c r="G825" i="1"/>
  <c r="H825" i="1"/>
  <c r="I825" i="1"/>
  <c r="J825" i="1"/>
  <c r="K825" i="1"/>
  <c r="L825" i="1"/>
  <c r="M825" i="1"/>
  <c r="N825" i="1"/>
  <c r="O825" i="1"/>
  <c r="W825" i="1"/>
  <c r="Y825" i="1"/>
  <c r="Z825" i="1"/>
  <c r="AA825" i="1"/>
  <c r="AC825" i="1"/>
  <c r="AE825" i="1"/>
  <c r="AF825" i="1"/>
  <c r="AG825" i="1"/>
  <c r="AK825" i="1"/>
  <c r="AS825" i="1"/>
  <c r="AT825" i="1"/>
  <c r="B826" i="1"/>
  <c r="C826" i="1"/>
  <c r="D826" i="1"/>
  <c r="E826" i="1"/>
  <c r="F826" i="1"/>
  <c r="H826" i="1"/>
  <c r="I826" i="1"/>
  <c r="J826" i="1"/>
  <c r="K826" i="1"/>
  <c r="L826" i="1"/>
  <c r="M826" i="1"/>
  <c r="N826" i="1"/>
  <c r="O826" i="1"/>
  <c r="W826" i="1"/>
  <c r="Y826" i="1"/>
  <c r="Z826" i="1"/>
  <c r="AA826" i="1"/>
  <c r="AC826" i="1"/>
  <c r="AE826" i="1"/>
  <c r="AF826" i="1"/>
  <c r="AG826" i="1"/>
  <c r="AK826" i="1"/>
  <c r="AS826" i="1"/>
  <c r="AT826" i="1"/>
  <c r="B827" i="1"/>
  <c r="C827" i="1"/>
  <c r="D827" i="1"/>
  <c r="E827" i="1"/>
  <c r="F827" i="1"/>
  <c r="H827" i="1"/>
  <c r="I827" i="1"/>
  <c r="J827" i="1"/>
  <c r="K827" i="1"/>
  <c r="L827" i="1"/>
  <c r="M827" i="1"/>
  <c r="N827" i="1"/>
  <c r="O827" i="1"/>
  <c r="W827" i="1"/>
  <c r="Y827" i="1"/>
  <c r="Z827" i="1"/>
  <c r="AA827" i="1"/>
  <c r="AC827" i="1"/>
  <c r="AE827" i="1"/>
  <c r="AF827" i="1"/>
  <c r="AG827" i="1"/>
  <c r="AK827" i="1"/>
  <c r="AS827" i="1"/>
  <c r="AT827" i="1"/>
  <c r="B828" i="1"/>
  <c r="C828" i="1"/>
  <c r="D828" i="1"/>
  <c r="E828" i="1"/>
  <c r="F828" i="1"/>
  <c r="H828" i="1"/>
  <c r="I828" i="1"/>
  <c r="J828" i="1"/>
  <c r="K828" i="1"/>
  <c r="L828" i="1"/>
  <c r="M828" i="1"/>
  <c r="N828" i="1"/>
  <c r="O828" i="1"/>
  <c r="W828" i="1"/>
  <c r="Y828" i="1"/>
  <c r="Z828" i="1"/>
  <c r="AA828" i="1"/>
  <c r="AC828" i="1"/>
  <c r="AE828" i="1"/>
  <c r="AF828" i="1"/>
  <c r="AG828" i="1"/>
  <c r="AK828" i="1"/>
  <c r="AS828" i="1"/>
  <c r="AT828" i="1"/>
  <c r="B829" i="1"/>
  <c r="C829" i="1"/>
  <c r="D829" i="1"/>
  <c r="E829" i="1"/>
  <c r="F829" i="1"/>
  <c r="H829" i="1"/>
  <c r="I829" i="1"/>
  <c r="J829" i="1"/>
  <c r="K829" i="1"/>
  <c r="L829" i="1"/>
  <c r="M829" i="1"/>
  <c r="N829" i="1"/>
  <c r="O829" i="1"/>
  <c r="W829" i="1"/>
  <c r="Y829" i="1"/>
  <c r="Z829" i="1"/>
  <c r="AA829" i="1"/>
  <c r="AC829" i="1"/>
  <c r="AE829" i="1"/>
  <c r="AF829" i="1"/>
  <c r="AG829" i="1"/>
  <c r="AK829" i="1"/>
  <c r="AS829" i="1"/>
  <c r="AT829" i="1"/>
  <c r="B830" i="1"/>
  <c r="C830" i="1"/>
  <c r="D830" i="1"/>
  <c r="E830" i="1"/>
  <c r="F830" i="1"/>
  <c r="H830" i="1"/>
  <c r="I830" i="1"/>
  <c r="J830" i="1"/>
  <c r="K830" i="1"/>
  <c r="L830" i="1"/>
  <c r="M830" i="1"/>
  <c r="N830" i="1"/>
  <c r="O830" i="1"/>
  <c r="W830" i="1"/>
  <c r="Y830" i="1"/>
  <c r="Z830" i="1"/>
  <c r="AA830" i="1"/>
  <c r="AC830" i="1"/>
  <c r="AE830" i="1"/>
  <c r="AF830" i="1"/>
  <c r="AG830" i="1"/>
  <c r="AK830" i="1"/>
  <c r="AS830" i="1"/>
  <c r="AT830" i="1"/>
  <c r="B831" i="1"/>
  <c r="C831" i="1"/>
  <c r="D831" i="1"/>
  <c r="E831" i="1"/>
  <c r="F831" i="1"/>
  <c r="H831" i="1"/>
  <c r="I831" i="1"/>
  <c r="J831" i="1"/>
  <c r="K831" i="1"/>
  <c r="L831" i="1"/>
  <c r="M831" i="1"/>
  <c r="N831" i="1"/>
  <c r="O831" i="1"/>
  <c r="W831" i="1"/>
  <c r="Y831" i="1"/>
  <c r="Z831" i="1"/>
  <c r="AA831" i="1"/>
  <c r="AC831" i="1"/>
  <c r="AE831" i="1"/>
  <c r="AF831" i="1"/>
  <c r="AG831" i="1"/>
  <c r="AK831" i="1"/>
  <c r="AS831" i="1"/>
  <c r="AT831" i="1"/>
  <c r="B832" i="1"/>
  <c r="C832" i="1"/>
  <c r="D832" i="1"/>
  <c r="E832" i="1"/>
  <c r="F832" i="1"/>
  <c r="H832" i="1"/>
  <c r="I832" i="1"/>
  <c r="J832" i="1"/>
  <c r="K832" i="1"/>
  <c r="L832" i="1"/>
  <c r="M832" i="1"/>
  <c r="N832" i="1"/>
  <c r="O832" i="1"/>
  <c r="W832" i="1"/>
  <c r="Y832" i="1"/>
  <c r="Z832" i="1"/>
  <c r="AA832" i="1"/>
  <c r="AC832" i="1"/>
  <c r="AE832" i="1"/>
  <c r="AF832" i="1"/>
  <c r="AG832" i="1"/>
  <c r="AK832" i="1"/>
  <c r="AS832" i="1"/>
  <c r="AT832" i="1"/>
  <c r="B833" i="1"/>
  <c r="C833" i="1"/>
  <c r="D833" i="1"/>
  <c r="E833" i="1"/>
  <c r="F833" i="1"/>
  <c r="H833" i="1"/>
  <c r="I833" i="1"/>
  <c r="J833" i="1"/>
  <c r="K833" i="1"/>
  <c r="L833" i="1"/>
  <c r="M833" i="1"/>
  <c r="N833" i="1"/>
  <c r="O833" i="1"/>
  <c r="W833" i="1"/>
  <c r="Y833" i="1"/>
  <c r="Z833" i="1"/>
  <c r="AA833" i="1"/>
  <c r="AC833" i="1"/>
  <c r="AE833" i="1"/>
  <c r="AF833" i="1"/>
  <c r="AG833" i="1"/>
  <c r="AK833" i="1"/>
  <c r="AS833" i="1"/>
  <c r="AT833" i="1"/>
  <c r="B834" i="1"/>
  <c r="C834" i="1"/>
  <c r="D834" i="1"/>
  <c r="E834" i="1"/>
  <c r="F834" i="1"/>
  <c r="H834" i="1"/>
  <c r="I834" i="1"/>
  <c r="J834" i="1"/>
  <c r="K834" i="1"/>
  <c r="L834" i="1"/>
  <c r="M834" i="1"/>
  <c r="N834" i="1"/>
  <c r="O834" i="1"/>
  <c r="W834" i="1"/>
  <c r="Y834" i="1"/>
  <c r="Z834" i="1"/>
  <c r="AA834" i="1"/>
  <c r="AC834" i="1"/>
  <c r="AE834" i="1"/>
  <c r="AF834" i="1"/>
  <c r="AG834" i="1"/>
  <c r="AK834" i="1"/>
  <c r="AS834" i="1"/>
  <c r="AT834" i="1"/>
  <c r="B835" i="1"/>
  <c r="C835" i="1"/>
  <c r="D835" i="1"/>
  <c r="E835" i="1"/>
  <c r="F835" i="1"/>
  <c r="H835" i="1"/>
  <c r="I835" i="1"/>
  <c r="J835" i="1"/>
  <c r="K835" i="1"/>
  <c r="L835" i="1"/>
  <c r="M835" i="1"/>
  <c r="N835" i="1"/>
  <c r="O835" i="1"/>
  <c r="W835" i="1"/>
  <c r="Y835" i="1"/>
  <c r="Z835" i="1"/>
  <c r="AA835" i="1"/>
  <c r="AC835" i="1"/>
  <c r="AE835" i="1"/>
  <c r="AF835" i="1"/>
  <c r="AG835" i="1"/>
  <c r="AK835" i="1"/>
  <c r="AS835" i="1"/>
  <c r="AT835" i="1"/>
  <c r="B836" i="1"/>
  <c r="C836" i="1"/>
  <c r="D836" i="1"/>
  <c r="E836" i="1"/>
  <c r="F836" i="1"/>
  <c r="G836" i="1"/>
  <c r="H836" i="1"/>
  <c r="I836" i="1"/>
  <c r="J836" i="1"/>
  <c r="K836" i="1"/>
  <c r="L836" i="1"/>
  <c r="M836" i="1"/>
  <c r="N836" i="1"/>
  <c r="O836" i="1"/>
  <c r="W836" i="1"/>
  <c r="Y836" i="1"/>
  <c r="Z836" i="1"/>
  <c r="AA836" i="1"/>
  <c r="AC836" i="1"/>
  <c r="AE836" i="1"/>
  <c r="AF836" i="1"/>
  <c r="AG836" i="1"/>
  <c r="AK836" i="1"/>
  <c r="AS836" i="1"/>
  <c r="AT836" i="1"/>
  <c r="B837" i="1"/>
  <c r="C837" i="1"/>
  <c r="D837" i="1"/>
  <c r="E837" i="1"/>
  <c r="F837" i="1"/>
  <c r="H837" i="1"/>
  <c r="I837" i="1"/>
  <c r="J837" i="1"/>
  <c r="K837" i="1"/>
  <c r="L837" i="1"/>
  <c r="M837" i="1"/>
  <c r="N837" i="1"/>
  <c r="O837" i="1"/>
  <c r="W837" i="1"/>
  <c r="Y837" i="1"/>
  <c r="Z837" i="1"/>
  <c r="AA837" i="1"/>
  <c r="AC837" i="1"/>
  <c r="AE837" i="1"/>
  <c r="AF837" i="1"/>
  <c r="AG837" i="1"/>
  <c r="AK837" i="1"/>
  <c r="AS837" i="1"/>
  <c r="AT837" i="1"/>
  <c r="B838" i="1"/>
  <c r="C838" i="1"/>
  <c r="D838" i="1"/>
  <c r="E838" i="1"/>
  <c r="F838" i="1"/>
  <c r="H838" i="1"/>
  <c r="I838" i="1"/>
  <c r="J838" i="1"/>
  <c r="K838" i="1"/>
  <c r="L838" i="1"/>
  <c r="M838" i="1"/>
  <c r="N838" i="1"/>
  <c r="O838" i="1"/>
  <c r="W838" i="1"/>
  <c r="Y838" i="1"/>
  <c r="Z838" i="1"/>
  <c r="AA838" i="1"/>
  <c r="AC838" i="1"/>
  <c r="AE838" i="1"/>
  <c r="AF838" i="1"/>
  <c r="AG838" i="1"/>
  <c r="AK838" i="1"/>
  <c r="AS838" i="1"/>
  <c r="AT838" i="1"/>
  <c r="B839" i="1"/>
  <c r="C839" i="1"/>
  <c r="D839" i="1"/>
  <c r="E839" i="1"/>
  <c r="F839" i="1"/>
  <c r="G839" i="1"/>
  <c r="H839" i="1"/>
  <c r="I839" i="1"/>
  <c r="J839" i="1"/>
  <c r="K839" i="1"/>
  <c r="L839" i="1"/>
  <c r="M839" i="1"/>
  <c r="N839" i="1"/>
  <c r="O839" i="1"/>
  <c r="W839" i="1"/>
  <c r="Y839" i="1"/>
  <c r="Z839" i="1"/>
  <c r="AA839" i="1"/>
  <c r="AC839" i="1"/>
  <c r="AE839" i="1"/>
  <c r="AF839" i="1"/>
  <c r="AG839" i="1"/>
  <c r="AK839" i="1"/>
  <c r="AS839" i="1"/>
  <c r="AT839" i="1"/>
  <c r="B840" i="1"/>
  <c r="C840" i="1"/>
  <c r="D840" i="1"/>
  <c r="E840" i="1"/>
  <c r="F840" i="1"/>
  <c r="H840" i="1"/>
  <c r="I840" i="1"/>
  <c r="J840" i="1"/>
  <c r="K840" i="1"/>
  <c r="L840" i="1"/>
  <c r="M840" i="1"/>
  <c r="N840" i="1"/>
  <c r="O840" i="1"/>
  <c r="Q840" i="1"/>
  <c r="W840" i="1"/>
  <c r="Y840" i="1"/>
  <c r="Z840" i="1"/>
  <c r="AA840" i="1"/>
  <c r="AC840" i="1"/>
  <c r="AE840" i="1"/>
  <c r="AF840" i="1"/>
  <c r="AG840" i="1"/>
  <c r="AK840" i="1"/>
  <c r="AS840" i="1"/>
  <c r="AT840" i="1"/>
  <c r="B841" i="1"/>
  <c r="C841" i="1"/>
  <c r="D841" i="1"/>
  <c r="E841" i="1"/>
  <c r="F841" i="1"/>
  <c r="H841" i="1"/>
  <c r="I841" i="1"/>
  <c r="J841" i="1"/>
  <c r="K841" i="1"/>
  <c r="L841" i="1"/>
  <c r="M841" i="1"/>
  <c r="N841" i="1"/>
  <c r="O841" i="1"/>
  <c r="W841" i="1"/>
  <c r="Y841" i="1"/>
  <c r="Z841" i="1"/>
  <c r="AA841" i="1"/>
  <c r="AC841" i="1"/>
  <c r="AE841" i="1"/>
  <c r="AF841" i="1"/>
  <c r="AG841" i="1"/>
  <c r="AK841" i="1"/>
  <c r="AS841" i="1"/>
  <c r="AT841" i="1"/>
  <c r="B842" i="1"/>
  <c r="C842" i="1"/>
  <c r="D842" i="1"/>
  <c r="E842" i="1"/>
  <c r="F842" i="1"/>
  <c r="H842" i="1"/>
  <c r="I842" i="1"/>
  <c r="J842" i="1"/>
  <c r="K842" i="1"/>
  <c r="L842" i="1"/>
  <c r="M842" i="1"/>
  <c r="N842" i="1"/>
  <c r="O842" i="1"/>
  <c r="W842" i="1"/>
  <c r="Y842" i="1"/>
  <c r="Z842" i="1"/>
  <c r="AA842" i="1"/>
  <c r="AC842" i="1"/>
  <c r="AE842" i="1"/>
  <c r="AF842" i="1"/>
  <c r="AG842" i="1"/>
  <c r="AK842" i="1"/>
  <c r="AS842" i="1"/>
  <c r="AT842" i="1"/>
  <c r="B843" i="1"/>
  <c r="C843" i="1"/>
  <c r="D843" i="1"/>
  <c r="E843" i="1"/>
  <c r="F843" i="1"/>
  <c r="H843" i="1"/>
  <c r="I843" i="1"/>
  <c r="J843" i="1"/>
  <c r="K843" i="1"/>
  <c r="L843" i="1"/>
  <c r="M843" i="1"/>
  <c r="N843" i="1"/>
  <c r="O843" i="1"/>
  <c r="W843" i="1"/>
  <c r="Y843" i="1"/>
  <c r="Z843" i="1"/>
  <c r="AA843" i="1"/>
  <c r="AC843" i="1"/>
  <c r="AE843" i="1"/>
  <c r="AF843" i="1"/>
  <c r="AG843" i="1"/>
  <c r="AK843" i="1"/>
  <c r="AS843" i="1"/>
  <c r="AT843" i="1"/>
  <c r="B844" i="1"/>
  <c r="C844" i="1"/>
  <c r="D844" i="1"/>
  <c r="E844" i="1"/>
  <c r="F844" i="1"/>
  <c r="H844" i="1"/>
  <c r="I844" i="1"/>
  <c r="J844" i="1"/>
  <c r="K844" i="1"/>
  <c r="L844" i="1"/>
  <c r="M844" i="1"/>
  <c r="N844" i="1"/>
  <c r="O844" i="1"/>
  <c r="W844" i="1"/>
  <c r="Y844" i="1"/>
  <c r="Z844" i="1"/>
  <c r="AA844" i="1"/>
  <c r="AC844" i="1"/>
  <c r="AE844" i="1"/>
  <c r="AF844" i="1"/>
  <c r="AG844" i="1"/>
  <c r="AK844" i="1"/>
  <c r="AS844" i="1"/>
  <c r="AT844" i="1"/>
  <c r="B845" i="1"/>
  <c r="C845" i="1"/>
  <c r="D845" i="1"/>
  <c r="E845" i="1"/>
  <c r="F845" i="1"/>
  <c r="H845" i="1"/>
  <c r="I845" i="1"/>
  <c r="J845" i="1"/>
  <c r="K845" i="1"/>
  <c r="L845" i="1"/>
  <c r="M845" i="1"/>
  <c r="N845" i="1"/>
  <c r="O845" i="1"/>
  <c r="W845" i="1"/>
  <c r="Y845" i="1"/>
  <c r="Z845" i="1"/>
  <c r="AA845" i="1"/>
  <c r="AC845" i="1"/>
  <c r="AE845" i="1"/>
  <c r="AF845" i="1"/>
  <c r="AG845" i="1"/>
  <c r="AK845" i="1"/>
  <c r="AS845" i="1"/>
  <c r="AT845" i="1"/>
  <c r="B846" i="1"/>
  <c r="C846" i="1"/>
  <c r="D846" i="1"/>
  <c r="E846" i="1"/>
  <c r="F846" i="1"/>
  <c r="G846" i="1"/>
  <c r="H846" i="1"/>
  <c r="I846" i="1"/>
  <c r="J846" i="1"/>
  <c r="K846" i="1"/>
  <c r="L846" i="1"/>
  <c r="M846" i="1"/>
  <c r="N846" i="1"/>
  <c r="O846" i="1"/>
  <c r="W846" i="1"/>
  <c r="Y846" i="1"/>
  <c r="Z846" i="1"/>
  <c r="AA846" i="1"/>
  <c r="AC846" i="1"/>
  <c r="AE846" i="1"/>
  <c r="AF846" i="1"/>
  <c r="AG846" i="1"/>
  <c r="AK846" i="1"/>
  <c r="AS846" i="1"/>
  <c r="AT846" i="1"/>
  <c r="B847" i="1"/>
  <c r="C847" i="1"/>
  <c r="D847" i="1"/>
  <c r="E847" i="1"/>
  <c r="F847" i="1"/>
  <c r="H847" i="1"/>
  <c r="I847" i="1"/>
  <c r="J847" i="1"/>
  <c r="K847" i="1"/>
  <c r="L847" i="1"/>
  <c r="M847" i="1"/>
  <c r="N847" i="1"/>
  <c r="O847" i="1"/>
  <c r="S847" i="1"/>
  <c r="T847" i="1"/>
  <c r="U847" i="1"/>
  <c r="W847" i="1"/>
  <c r="Y847" i="1"/>
  <c r="Z847" i="1"/>
  <c r="AA847" i="1"/>
  <c r="AC847" i="1"/>
  <c r="AE847" i="1"/>
  <c r="AF847" i="1"/>
  <c r="AG847" i="1"/>
  <c r="AK847" i="1"/>
  <c r="AS847" i="1"/>
  <c r="AT847" i="1"/>
  <c r="B848" i="1"/>
  <c r="C848" i="1"/>
  <c r="D848" i="1"/>
  <c r="E848" i="1"/>
  <c r="F848" i="1"/>
  <c r="G848" i="1"/>
  <c r="H848" i="1"/>
  <c r="I848" i="1"/>
  <c r="J848" i="1"/>
  <c r="K848" i="1"/>
  <c r="L848" i="1"/>
  <c r="M848" i="1"/>
  <c r="N848" i="1"/>
  <c r="O848" i="1"/>
  <c r="W848" i="1"/>
  <c r="Y848" i="1"/>
  <c r="Z848" i="1"/>
  <c r="AA848" i="1"/>
  <c r="AC848" i="1"/>
  <c r="AE848" i="1"/>
  <c r="AF848" i="1"/>
  <c r="AG848" i="1"/>
  <c r="AK848" i="1"/>
  <c r="AS848" i="1"/>
  <c r="AT848" i="1"/>
  <c r="B849" i="1"/>
  <c r="C849" i="1"/>
  <c r="D849" i="1"/>
  <c r="E849" i="1"/>
  <c r="F849" i="1"/>
  <c r="G849" i="1"/>
  <c r="H849" i="1"/>
  <c r="I849" i="1"/>
  <c r="J849" i="1"/>
  <c r="K849" i="1"/>
  <c r="L849" i="1"/>
  <c r="M849" i="1"/>
  <c r="N849" i="1"/>
  <c r="O849" i="1"/>
  <c r="W849" i="1"/>
  <c r="Y849" i="1"/>
  <c r="Z849" i="1"/>
  <c r="AA849" i="1"/>
  <c r="AC849" i="1"/>
  <c r="AE849" i="1"/>
  <c r="AF849" i="1"/>
  <c r="AG849" i="1"/>
  <c r="AK849" i="1"/>
  <c r="AS849" i="1"/>
  <c r="AT849" i="1"/>
  <c r="B850" i="1"/>
  <c r="C850" i="1"/>
  <c r="D850" i="1"/>
  <c r="E850" i="1"/>
  <c r="F850" i="1"/>
  <c r="G850" i="1"/>
  <c r="H850" i="1"/>
  <c r="I850" i="1"/>
  <c r="J850" i="1"/>
  <c r="K850" i="1"/>
  <c r="L850" i="1"/>
  <c r="M850" i="1"/>
  <c r="N850" i="1"/>
  <c r="O850" i="1"/>
  <c r="S850" i="1"/>
  <c r="U850" i="1"/>
  <c r="V850" i="1"/>
  <c r="W850" i="1"/>
  <c r="Y850" i="1"/>
  <c r="Z850" i="1"/>
  <c r="AA850" i="1"/>
  <c r="AC850" i="1"/>
  <c r="AE850" i="1"/>
  <c r="AF850" i="1"/>
  <c r="AG850" i="1"/>
  <c r="AK850" i="1"/>
  <c r="AS850" i="1"/>
  <c r="AT850" i="1"/>
  <c r="B851" i="1"/>
  <c r="C851" i="1"/>
  <c r="D851" i="1"/>
  <c r="E851" i="1"/>
  <c r="F851" i="1"/>
  <c r="G851" i="1"/>
  <c r="H851" i="1"/>
  <c r="I851" i="1"/>
  <c r="J851" i="1"/>
  <c r="K851" i="1"/>
  <c r="L851" i="1"/>
  <c r="M851" i="1"/>
  <c r="N851" i="1"/>
  <c r="O851" i="1"/>
  <c r="W851" i="1"/>
  <c r="Y851" i="1"/>
  <c r="Z851" i="1"/>
  <c r="AA851" i="1"/>
  <c r="AC851" i="1"/>
  <c r="AE851" i="1"/>
  <c r="AF851" i="1"/>
  <c r="AG851" i="1"/>
  <c r="AK851" i="1"/>
  <c r="AS851" i="1"/>
  <c r="AT851" i="1"/>
  <c r="B852" i="1"/>
  <c r="C852" i="1"/>
  <c r="D852" i="1"/>
  <c r="E852" i="1"/>
  <c r="F852" i="1"/>
  <c r="G852" i="1"/>
  <c r="H852" i="1"/>
  <c r="I852" i="1"/>
  <c r="J852" i="1"/>
  <c r="K852" i="1"/>
  <c r="L852" i="1"/>
  <c r="M852" i="1"/>
  <c r="N852" i="1"/>
  <c r="O852" i="1"/>
  <c r="W852" i="1"/>
  <c r="Y852" i="1"/>
  <c r="Z852" i="1"/>
  <c r="AA852" i="1"/>
  <c r="AC852" i="1"/>
  <c r="AE852" i="1"/>
  <c r="AF852" i="1"/>
  <c r="AG852" i="1"/>
  <c r="AK852" i="1"/>
  <c r="AS852" i="1"/>
  <c r="AT852" i="1"/>
  <c r="B853" i="1"/>
  <c r="C853" i="1"/>
  <c r="D853" i="1"/>
  <c r="E853" i="1"/>
  <c r="F853" i="1"/>
  <c r="G853" i="1"/>
  <c r="H853" i="1"/>
  <c r="I853" i="1"/>
  <c r="J853" i="1"/>
  <c r="K853" i="1"/>
  <c r="L853" i="1"/>
  <c r="M853" i="1"/>
  <c r="N853" i="1"/>
  <c r="O853" i="1"/>
  <c r="W853" i="1"/>
  <c r="Y853" i="1"/>
  <c r="Z853" i="1"/>
  <c r="AA853" i="1"/>
  <c r="AC853" i="1"/>
  <c r="AE853" i="1"/>
  <c r="AF853" i="1"/>
  <c r="AG853" i="1"/>
  <c r="AK853" i="1"/>
  <c r="AS853" i="1"/>
  <c r="AT853" i="1"/>
  <c r="B854" i="1"/>
  <c r="C854" i="1"/>
  <c r="D854" i="1"/>
  <c r="E854" i="1"/>
  <c r="F854" i="1"/>
  <c r="G854" i="1"/>
  <c r="H854" i="1"/>
  <c r="I854" i="1"/>
  <c r="J854" i="1"/>
  <c r="K854" i="1"/>
  <c r="L854" i="1"/>
  <c r="M854" i="1"/>
  <c r="N854" i="1"/>
  <c r="O854" i="1"/>
  <c r="W854" i="1"/>
  <c r="Y854" i="1"/>
  <c r="Z854" i="1"/>
  <c r="AA854" i="1"/>
  <c r="AC854" i="1"/>
  <c r="AE854" i="1"/>
  <c r="AF854" i="1"/>
  <c r="AG854" i="1"/>
  <c r="AK854" i="1"/>
  <c r="AS854" i="1"/>
  <c r="AT854" i="1"/>
  <c r="B855" i="1"/>
  <c r="C855" i="1"/>
  <c r="D855" i="1"/>
  <c r="E855" i="1"/>
  <c r="F855" i="1"/>
  <c r="H855" i="1"/>
  <c r="I855" i="1"/>
  <c r="J855" i="1"/>
  <c r="K855" i="1"/>
  <c r="L855" i="1"/>
  <c r="M855" i="1"/>
  <c r="N855" i="1"/>
  <c r="O855" i="1"/>
  <c r="W855" i="1"/>
  <c r="Y855" i="1"/>
  <c r="Z855" i="1"/>
  <c r="AA855" i="1"/>
  <c r="AC855" i="1"/>
  <c r="AE855" i="1"/>
  <c r="AF855" i="1"/>
  <c r="AG855" i="1"/>
  <c r="AK855" i="1"/>
  <c r="AS855" i="1"/>
  <c r="AT855" i="1"/>
  <c r="B856" i="1"/>
  <c r="C856" i="1"/>
  <c r="D856" i="1"/>
  <c r="E856" i="1"/>
  <c r="F856" i="1"/>
  <c r="G856" i="1"/>
  <c r="H856" i="1"/>
  <c r="I856" i="1"/>
  <c r="J856" i="1"/>
  <c r="K856" i="1"/>
  <c r="L856" i="1"/>
  <c r="M856" i="1"/>
  <c r="N856" i="1"/>
  <c r="O856" i="1"/>
  <c r="W856" i="1"/>
  <c r="Y856" i="1"/>
  <c r="Z856" i="1"/>
  <c r="AA856" i="1"/>
  <c r="AC856" i="1"/>
  <c r="AE856" i="1"/>
  <c r="AF856" i="1"/>
  <c r="AG856" i="1"/>
  <c r="AK856" i="1"/>
  <c r="AS856" i="1"/>
  <c r="AT856" i="1"/>
  <c r="B857" i="1"/>
  <c r="C857" i="1"/>
  <c r="D857" i="1"/>
  <c r="E857" i="1"/>
  <c r="F857" i="1"/>
  <c r="H857" i="1"/>
  <c r="I857" i="1"/>
  <c r="J857" i="1"/>
  <c r="K857" i="1"/>
  <c r="L857" i="1"/>
  <c r="M857" i="1"/>
  <c r="N857" i="1"/>
  <c r="O857" i="1"/>
  <c r="W857" i="1"/>
  <c r="Y857" i="1"/>
  <c r="Z857" i="1"/>
  <c r="AA857" i="1"/>
  <c r="AC857" i="1"/>
  <c r="AE857" i="1"/>
  <c r="AF857" i="1"/>
  <c r="AG857" i="1"/>
  <c r="AK857" i="1"/>
  <c r="AS857" i="1"/>
  <c r="AT857" i="1"/>
  <c r="B858" i="1"/>
  <c r="C858" i="1"/>
  <c r="D858" i="1"/>
  <c r="E858" i="1"/>
  <c r="F858" i="1"/>
  <c r="H858" i="1"/>
  <c r="I858" i="1"/>
  <c r="J858" i="1"/>
  <c r="K858" i="1"/>
  <c r="L858" i="1"/>
  <c r="M858" i="1"/>
  <c r="N858" i="1"/>
  <c r="O858" i="1"/>
  <c r="W858" i="1"/>
  <c r="Y858" i="1"/>
  <c r="Z858" i="1"/>
  <c r="AA858" i="1"/>
  <c r="AC858" i="1"/>
  <c r="AE858" i="1"/>
  <c r="AF858" i="1"/>
  <c r="AG858" i="1"/>
  <c r="AK858" i="1"/>
  <c r="AS858" i="1"/>
  <c r="AT858" i="1"/>
  <c r="B859" i="1"/>
  <c r="C859" i="1"/>
  <c r="D859" i="1"/>
  <c r="E859" i="1"/>
  <c r="F859" i="1"/>
  <c r="H859" i="1"/>
  <c r="I859" i="1"/>
  <c r="J859" i="1"/>
  <c r="K859" i="1"/>
  <c r="L859" i="1"/>
  <c r="M859" i="1"/>
  <c r="N859" i="1"/>
  <c r="O859" i="1"/>
  <c r="W859" i="1"/>
  <c r="Y859" i="1"/>
  <c r="Z859" i="1"/>
  <c r="AA859" i="1"/>
  <c r="AC859" i="1"/>
  <c r="AE859" i="1"/>
  <c r="AF859" i="1"/>
  <c r="AG859" i="1"/>
  <c r="AK859" i="1"/>
  <c r="AS859" i="1"/>
  <c r="AT859" i="1"/>
  <c r="B860" i="1"/>
  <c r="C860" i="1"/>
  <c r="D860" i="1"/>
  <c r="E860" i="1"/>
  <c r="F860" i="1"/>
  <c r="G860" i="1"/>
  <c r="H860" i="1"/>
  <c r="I860" i="1"/>
  <c r="J860" i="1"/>
  <c r="K860" i="1"/>
  <c r="L860" i="1"/>
  <c r="M860" i="1"/>
  <c r="N860" i="1"/>
  <c r="O860" i="1"/>
  <c r="W860" i="1"/>
  <c r="Y860" i="1"/>
  <c r="Z860" i="1"/>
  <c r="AA860" i="1"/>
  <c r="AC860" i="1"/>
  <c r="AE860" i="1"/>
  <c r="AF860" i="1"/>
  <c r="AG860" i="1"/>
  <c r="AK860" i="1"/>
  <c r="AS860" i="1"/>
  <c r="AT860" i="1"/>
  <c r="B861" i="1"/>
  <c r="C861" i="1"/>
  <c r="D861" i="1"/>
  <c r="E861" i="1"/>
  <c r="F861" i="1"/>
  <c r="H861" i="1"/>
  <c r="I861" i="1"/>
  <c r="J861" i="1"/>
  <c r="K861" i="1"/>
  <c r="L861" i="1"/>
  <c r="M861" i="1"/>
  <c r="N861" i="1"/>
  <c r="O861" i="1"/>
  <c r="W861" i="1"/>
  <c r="Y861" i="1"/>
  <c r="Z861" i="1"/>
  <c r="AA861" i="1"/>
  <c r="AC861" i="1"/>
  <c r="AE861" i="1"/>
  <c r="AF861" i="1"/>
  <c r="AG861" i="1"/>
  <c r="AK861" i="1"/>
  <c r="AS861" i="1"/>
  <c r="AT861" i="1"/>
  <c r="B862" i="1"/>
  <c r="C862" i="1"/>
  <c r="D862" i="1"/>
  <c r="E862" i="1"/>
  <c r="F862" i="1"/>
  <c r="H862" i="1"/>
  <c r="I862" i="1"/>
  <c r="J862" i="1"/>
  <c r="K862" i="1"/>
  <c r="L862" i="1"/>
  <c r="M862" i="1"/>
  <c r="N862" i="1"/>
  <c r="O862" i="1"/>
  <c r="W862" i="1"/>
  <c r="Y862" i="1"/>
  <c r="Z862" i="1"/>
  <c r="AA862" i="1"/>
  <c r="AC862" i="1"/>
  <c r="AE862" i="1"/>
  <c r="AF862" i="1"/>
  <c r="AG862" i="1"/>
  <c r="AK862" i="1"/>
  <c r="AS862" i="1"/>
  <c r="AT862" i="1"/>
  <c r="B863" i="1"/>
  <c r="C863" i="1"/>
  <c r="D863" i="1"/>
  <c r="E863" i="1"/>
  <c r="F863" i="1"/>
  <c r="H863" i="1"/>
  <c r="I863" i="1"/>
  <c r="J863" i="1"/>
  <c r="K863" i="1"/>
  <c r="L863" i="1"/>
  <c r="M863" i="1"/>
  <c r="N863" i="1"/>
  <c r="O863" i="1"/>
  <c r="W863" i="1"/>
  <c r="Y863" i="1"/>
  <c r="Z863" i="1"/>
  <c r="AA863" i="1"/>
  <c r="AC863" i="1"/>
  <c r="AE863" i="1"/>
  <c r="AF863" i="1"/>
  <c r="AG863" i="1"/>
  <c r="AK863" i="1"/>
  <c r="AS863" i="1"/>
  <c r="AT863" i="1"/>
  <c r="B864" i="1"/>
  <c r="C864" i="1"/>
  <c r="D864" i="1"/>
  <c r="E864" i="1"/>
  <c r="F864" i="1"/>
  <c r="G864" i="1"/>
  <c r="H864" i="1"/>
  <c r="I864" i="1"/>
  <c r="J864" i="1"/>
  <c r="K864" i="1"/>
  <c r="L864" i="1"/>
  <c r="M864" i="1"/>
  <c r="N864" i="1"/>
  <c r="O864" i="1"/>
  <c r="W864" i="1"/>
  <c r="Y864" i="1"/>
  <c r="Z864" i="1"/>
  <c r="AA864" i="1"/>
  <c r="AC864" i="1"/>
  <c r="AE864" i="1"/>
  <c r="AF864" i="1"/>
  <c r="AG864" i="1"/>
  <c r="AK864" i="1"/>
  <c r="AS864" i="1"/>
  <c r="AT864" i="1"/>
  <c r="B865" i="1"/>
  <c r="C865" i="1"/>
  <c r="D865" i="1"/>
  <c r="E865" i="1"/>
  <c r="F865" i="1"/>
  <c r="H865" i="1"/>
  <c r="I865" i="1"/>
  <c r="J865" i="1"/>
  <c r="K865" i="1"/>
  <c r="L865" i="1"/>
  <c r="M865" i="1"/>
  <c r="N865" i="1"/>
  <c r="O865" i="1"/>
  <c r="W865" i="1"/>
  <c r="Y865" i="1"/>
  <c r="Z865" i="1"/>
  <c r="AA865" i="1"/>
  <c r="AC865" i="1"/>
  <c r="AE865" i="1"/>
  <c r="AF865" i="1"/>
  <c r="AG865" i="1"/>
  <c r="AK865" i="1"/>
  <c r="AS865" i="1"/>
  <c r="AT865" i="1"/>
  <c r="B866" i="1"/>
  <c r="C866" i="1"/>
  <c r="D866" i="1"/>
  <c r="E866" i="1"/>
  <c r="F866" i="1"/>
  <c r="H866" i="1"/>
  <c r="I866" i="1"/>
  <c r="J866" i="1"/>
  <c r="K866" i="1"/>
  <c r="L866" i="1"/>
  <c r="M866" i="1"/>
  <c r="N866" i="1"/>
  <c r="O866" i="1"/>
  <c r="W866" i="1"/>
  <c r="Y866" i="1"/>
  <c r="Z866" i="1"/>
  <c r="AA866" i="1"/>
  <c r="AC866" i="1"/>
  <c r="AE866" i="1"/>
  <c r="AF866" i="1"/>
  <c r="AG866" i="1"/>
  <c r="AK866" i="1"/>
  <c r="AS866" i="1"/>
  <c r="AT866" i="1"/>
  <c r="B867" i="1"/>
  <c r="C867" i="1"/>
  <c r="D867" i="1"/>
  <c r="E867" i="1"/>
  <c r="F867" i="1"/>
  <c r="G867" i="1"/>
  <c r="H867" i="1"/>
  <c r="I867" i="1"/>
  <c r="J867" i="1"/>
  <c r="K867" i="1"/>
  <c r="L867" i="1"/>
  <c r="M867" i="1"/>
  <c r="N867" i="1"/>
  <c r="O867" i="1"/>
  <c r="S867" i="1"/>
  <c r="T867" i="1"/>
  <c r="U867" i="1"/>
  <c r="V867" i="1"/>
  <c r="W867" i="1"/>
  <c r="Y867" i="1"/>
  <c r="Z867" i="1"/>
  <c r="AA867" i="1"/>
  <c r="AC867" i="1"/>
  <c r="AE867" i="1"/>
  <c r="AF867" i="1"/>
  <c r="AG867" i="1"/>
  <c r="AK867" i="1"/>
  <c r="AS867" i="1"/>
  <c r="AT867" i="1"/>
  <c r="B868" i="1"/>
  <c r="C868" i="1"/>
  <c r="D868" i="1"/>
  <c r="E868" i="1"/>
  <c r="F868" i="1"/>
  <c r="H868" i="1"/>
  <c r="I868" i="1"/>
  <c r="J868" i="1"/>
  <c r="K868" i="1"/>
  <c r="L868" i="1"/>
  <c r="M868" i="1"/>
  <c r="N868" i="1"/>
  <c r="O868" i="1"/>
  <c r="W868" i="1"/>
  <c r="Y868" i="1"/>
  <c r="Z868" i="1"/>
  <c r="AA868" i="1"/>
  <c r="AC868" i="1"/>
  <c r="AE868" i="1"/>
  <c r="AF868" i="1"/>
  <c r="AG868" i="1"/>
  <c r="AK868" i="1"/>
  <c r="AS868" i="1"/>
  <c r="AT868" i="1"/>
  <c r="B869" i="1"/>
  <c r="C869" i="1"/>
  <c r="D869" i="1"/>
  <c r="E869" i="1"/>
  <c r="F869" i="1"/>
  <c r="H869" i="1"/>
  <c r="I869" i="1"/>
  <c r="J869" i="1"/>
  <c r="K869" i="1"/>
  <c r="L869" i="1"/>
  <c r="M869" i="1"/>
  <c r="N869" i="1"/>
  <c r="O869" i="1"/>
  <c r="W869" i="1"/>
  <c r="Y869" i="1"/>
  <c r="Z869" i="1"/>
  <c r="AA869" i="1"/>
  <c r="AC869" i="1"/>
  <c r="AE869" i="1"/>
  <c r="AF869" i="1"/>
  <c r="AG869" i="1"/>
  <c r="AK869" i="1"/>
  <c r="AS869" i="1"/>
  <c r="AT869" i="1"/>
  <c r="B870" i="1"/>
  <c r="C870" i="1"/>
  <c r="D870" i="1"/>
  <c r="E870" i="1"/>
  <c r="F870" i="1"/>
  <c r="G870" i="1"/>
  <c r="H870" i="1"/>
  <c r="I870" i="1"/>
  <c r="J870" i="1"/>
  <c r="K870" i="1"/>
  <c r="L870" i="1"/>
  <c r="M870" i="1"/>
  <c r="N870" i="1"/>
  <c r="O870" i="1"/>
  <c r="W870" i="1"/>
  <c r="Y870" i="1"/>
  <c r="Z870" i="1"/>
  <c r="AA870" i="1"/>
  <c r="AC870" i="1"/>
  <c r="AE870" i="1"/>
  <c r="AF870" i="1"/>
  <c r="AG870" i="1"/>
  <c r="AK870" i="1"/>
  <c r="AS870" i="1"/>
  <c r="AT870" i="1"/>
  <c r="B871" i="1"/>
  <c r="C871" i="1"/>
  <c r="D871" i="1"/>
  <c r="E871" i="1"/>
  <c r="F871" i="1"/>
  <c r="G871" i="1"/>
  <c r="H871" i="1"/>
  <c r="I871" i="1"/>
  <c r="J871" i="1"/>
  <c r="K871" i="1"/>
  <c r="L871" i="1"/>
  <c r="M871" i="1"/>
  <c r="N871" i="1"/>
  <c r="O871" i="1"/>
  <c r="W871" i="1"/>
  <c r="Y871" i="1"/>
  <c r="Z871" i="1"/>
  <c r="AA871" i="1"/>
  <c r="AC871" i="1"/>
  <c r="AE871" i="1"/>
  <c r="AF871" i="1"/>
  <c r="AG871" i="1"/>
  <c r="AK871" i="1"/>
  <c r="AS871" i="1"/>
  <c r="AT871" i="1"/>
  <c r="B872" i="1"/>
  <c r="C872" i="1"/>
  <c r="D872" i="1"/>
  <c r="E872" i="1"/>
  <c r="F872" i="1"/>
  <c r="H872" i="1"/>
  <c r="I872" i="1"/>
  <c r="J872" i="1"/>
  <c r="K872" i="1"/>
  <c r="L872" i="1"/>
  <c r="M872" i="1"/>
  <c r="N872" i="1"/>
  <c r="O872" i="1"/>
  <c r="W872" i="1"/>
  <c r="Y872" i="1"/>
  <c r="Z872" i="1"/>
  <c r="AA872" i="1"/>
  <c r="AC872" i="1"/>
  <c r="AE872" i="1"/>
  <c r="AF872" i="1"/>
  <c r="AG872" i="1"/>
  <c r="AK872" i="1"/>
  <c r="AS872" i="1"/>
  <c r="AT872" i="1"/>
  <c r="B873" i="1"/>
  <c r="C873" i="1"/>
  <c r="D873" i="1"/>
  <c r="E873" i="1"/>
  <c r="F873" i="1"/>
  <c r="G873" i="1"/>
  <c r="H873" i="1"/>
  <c r="I873" i="1"/>
  <c r="J873" i="1"/>
  <c r="K873" i="1"/>
  <c r="L873" i="1"/>
  <c r="M873" i="1"/>
  <c r="N873" i="1"/>
  <c r="O873" i="1"/>
  <c r="W873" i="1"/>
  <c r="Y873" i="1"/>
  <c r="Z873" i="1"/>
  <c r="AA873" i="1"/>
  <c r="AC873" i="1"/>
  <c r="AE873" i="1"/>
  <c r="AF873" i="1"/>
  <c r="AG873" i="1"/>
  <c r="AK873" i="1"/>
  <c r="AS873" i="1"/>
  <c r="AT873" i="1"/>
  <c r="B874" i="1"/>
  <c r="C874" i="1"/>
  <c r="D874" i="1"/>
  <c r="E874" i="1"/>
  <c r="F874" i="1"/>
  <c r="H874" i="1"/>
  <c r="I874" i="1"/>
  <c r="J874" i="1"/>
  <c r="K874" i="1"/>
  <c r="L874" i="1"/>
  <c r="M874" i="1"/>
  <c r="N874" i="1"/>
  <c r="O874" i="1"/>
  <c r="W874" i="1"/>
  <c r="Y874" i="1"/>
  <c r="Z874" i="1"/>
  <c r="AA874" i="1"/>
  <c r="AC874" i="1"/>
  <c r="AE874" i="1"/>
  <c r="AF874" i="1"/>
  <c r="AG874" i="1"/>
  <c r="AK874" i="1"/>
  <c r="AS874" i="1"/>
  <c r="AT874" i="1"/>
  <c r="B875" i="1"/>
  <c r="C875" i="1"/>
  <c r="D875" i="1"/>
  <c r="E875" i="1"/>
  <c r="F875" i="1"/>
  <c r="G875" i="1"/>
  <c r="H875" i="1"/>
  <c r="I875" i="1"/>
  <c r="J875" i="1"/>
  <c r="K875" i="1"/>
  <c r="L875" i="1"/>
  <c r="M875" i="1"/>
  <c r="N875" i="1"/>
  <c r="O875" i="1"/>
  <c r="S875" i="1"/>
  <c r="T875" i="1"/>
  <c r="U875" i="1"/>
  <c r="W875" i="1"/>
  <c r="Y875" i="1"/>
  <c r="Z875" i="1"/>
  <c r="AA875" i="1"/>
  <c r="AC875" i="1"/>
  <c r="AE875" i="1"/>
  <c r="AF875" i="1"/>
  <c r="AG875" i="1"/>
  <c r="AK875" i="1"/>
  <c r="AS875" i="1"/>
  <c r="AT875" i="1"/>
  <c r="B876" i="1"/>
  <c r="C876" i="1"/>
  <c r="D876" i="1"/>
  <c r="E876" i="1"/>
  <c r="F876" i="1"/>
  <c r="H876" i="1"/>
  <c r="I876" i="1"/>
  <c r="J876" i="1"/>
  <c r="K876" i="1"/>
  <c r="L876" i="1"/>
  <c r="M876" i="1"/>
  <c r="N876" i="1"/>
  <c r="O876" i="1"/>
  <c r="W876" i="1"/>
  <c r="Y876" i="1"/>
  <c r="Z876" i="1"/>
  <c r="AA876" i="1"/>
  <c r="AC876" i="1"/>
  <c r="AE876" i="1"/>
  <c r="AF876" i="1"/>
  <c r="AG876" i="1"/>
  <c r="AK876" i="1"/>
  <c r="AS876" i="1"/>
  <c r="AT876" i="1"/>
  <c r="B877" i="1"/>
  <c r="C877" i="1"/>
  <c r="D877" i="1"/>
  <c r="E877" i="1"/>
  <c r="F877" i="1"/>
  <c r="H877" i="1"/>
  <c r="I877" i="1"/>
  <c r="J877" i="1"/>
  <c r="K877" i="1"/>
  <c r="L877" i="1"/>
  <c r="M877" i="1"/>
  <c r="N877" i="1"/>
  <c r="O877" i="1"/>
  <c r="W877" i="1"/>
  <c r="Y877" i="1"/>
  <c r="Z877" i="1"/>
  <c r="AA877" i="1"/>
  <c r="AC877" i="1"/>
  <c r="AE877" i="1"/>
  <c r="AF877" i="1"/>
  <c r="AG877" i="1"/>
  <c r="AK877" i="1"/>
  <c r="AS877" i="1"/>
  <c r="AT877" i="1"/>
  <c r="B878" i="1"/>
  <c r="C878" i="1"/>
  <c r="D878" i="1"/>
  <c r="E878" i="1"/>
  <c r="F878" i="1"/>
  <c r="H878" i="1"/>
  <c r="I878" i="1"/>
  <c r="J878" i="1"/>
  <c r="K878" i="1"/>
  <c r="L878" i="1"/>
  <c r="M878" i="1"/>
  <c r="N878" i="1"/>
  <c r="O878" i="1"/>
  <c r="W878" i="1"/>
  <c r="Y878" i="1"/>
  <c r="Z878" i="1"/>
  <c r="AA878" i="1"/>
  <c r="AC878" i="1"/>
  <c r="AE878" i="1"/>
  <c r="AF878" i="1"/>
  <c r="AG878" i="1"/>
  <c r="AK878" i="1"/>
  <c r="AS878" i="1"/>
  <c r="AT878" i="1"/>
  <c r="B879" i="1"/>
  <c r="C879" i="1"/>
  <c r="D879" i="1"/>
  <c r="E879" i="1"/>
  <c r="F879" i="1"/>
  <c r="H879" i="1"/>
  <c r="I879" i="1"/>
  <c r="J879" i="1"/>
  <c r="K879" i="1"/>
  <c r="L879" i="1"/>
  <c r="M879" i="1"/>
  <c r="N879" i="1"/>
  <c r="O879" i="1"/>
  <c r="W879" i="1"/>
  <c r="Y879" i="1"/>
  <c r="Z879" i="1"/>
  <c r="AA879" i="1"/>
  <c r="AC879" i="1"/>
  <c r="AE879" i="1"/>
  <c r="AF879" i="1"/>
  <c r="AG879" i="1"/>
  <c r="AK879" i="1"/>
  <c r="AS879" i="1"/>
  <c r="AT879" i="1"/>
  <c r="B880" i="1"/>
  <c r="C880" i="1"/>
  <c r="D880" i="1"/>
  <c r="E880" i="1"/>
  <c r="F880" i="1"/>
  <c r="G880" i="1"/>
  <c r="H880" i="1"/>
  <c r="I880" i="1"/>
  <c r="J880" i="1"/>
  <c r="K880" i="1"/>
  <c r="L880" i="1"/>
  <c r="M880" i="1"/>
  <c r="N880" i="1"/>
  <c r="O880" i="1"/>
  <c r="S880" i="1"/>
  <c r="T880" i="1"/>
  <c r="U880" i="1"/>
  <c r="V880" i="1"/>
  <c r="W880" i="1"/>
  <c r="Y880" i="1"/>
  <c r="Z880" i="1"/>
  <c r="AA880" i="1"/>
  <c r="AC880" i="1"/>
  <c r="AE880" i="1"/>
  <c r="AF880" i="1"/>
  <c r="AG880" i="1"/>
  <c r="AK880" i="1"/>
  <c r="AS880" i="1"/>
  <c r="AT880" i="1"/>
  <c r="B881" i="1"/>
  <c r="C881" i="1"/>
  <c r="D881" i="1"/>
  <c r="E881" i="1"/>
  <c r="F881" i="1"/>
  <c r="H881" i="1"/>
  <c r="I881" i="1"/>
  <c r="J881" i="1"/>
  <c r="K881" i="1"/>
  <c r="L881" i="1"/>
  <c r="M881" i="1"/>
  <c r="N881" i="1"/>
  <c r="O881" i="1"/>
  <c r="W881" i="1"/>
  <c r="Y881" i="1"/>
  <c r="Z881" i="1"/>
  <c r="AA881" i="1"/>
  <c r="AC881" i="1"/>
  <c r="AE881" i="1"/>
  <c r="AF881" i="1"/>
  <c r="AG881" i="1"/>
  <c r="AK881" i="1"/>
  <c r="AS881" i="1"/>
  <c r="AT881" i="1"/>
  <c r="B882" i="1"/>
  <c r="C882" i="1"/>
  <c r="D882" i="1"/>
  <c r="E882" i="1"/>
  <c r="F882" i="1"/>
  <c r="H882" i="1"/>
  <c r="I882" i="1"/>
  <c r="J882" i="1"/>
  <c r="K882" i="1"/>
  <c r="L882" i="1"/>
  <c r="M882" i="1"/>
  <c r="N882" i="1"/>
  <c r="O882" i="1"/>
  <c r="W882" i="1"/>
  <c r="Y882" i="1"/>
  <c r="Z882" i="1"/>
  <c r="AA882" i="1"/>
  <c r="AC882" i="1"/>
  <c r="AE882" i="1"/>
  <c r="AF882" i="1"/>
  <c r="AG882" i="1"/>
  <c r="AK882" i="1"/>
  <c r="AS882" i="1"/>
  <c r="AT882" i="1"/>
  <c r="B883" i="1"/>
  <c r="C883" i="1"/>
  <c r="D883" i="1"/>
  <c r="E883" i="1"/>
  <c r="F883" i="1"/>
  <c r="G883" i="1"/>
  <c r="H883" i="1"/>
  <c r="I883" i="1"/>
  <c r="J883" i="1"/>
  <c r="K883" i="1"/>
  <c r="L883" i="1"/>
  <c r="M883" i="1"/>
  <c r="N883" i="1"/>
  <c r="O883" i="1"/>
  <c r="W883" i="1"/>
  <c r="Y883" i="1"/>
  <c r="Z883" i="1"/>
  <c r="AA883" i="1"/>
  <c r="AC883" i="1"/>
  <c r="AE883" i="1"/>
  <c r="AF883" i="1"/>
  <c r="AG883" i="1"/>
  <c r="AK883" i="1"/>
  <c r="AS883" i="1"/>
  <c r="AT883" i="1"/>
  <c r="B884" i="1"/>
  <c r="C884" i="1"/>
  <c r="D884" i="1"/>
  <c r="E884" i="1"/>
  <c r="F884" i="1"/>
  <c r="G884" i="1"/>
  <c r="H884" i="1"/>
  <c r="I884" i="1"/>
  <c r="J884" i="1"/>
  <c r="K884" i="1"/>
  <c r="L884" i="1"/>
  <c r="M884" i="1"/>
  <c r="N884" i="1"/>
  <c r="O884" i="1"/>
  <c r="S884" i="1"/>
  <c r="T884" i="1"/>
  <c r="U884" i="1"/>
  <c r="W884" i="1"/>
  <c r="Y884" i="1"/>
  <c r="Z884" i="1"/>
  <c r="AA884" i="1"/>
  <c r="AC884" i="1"/>
  <c r="AE884" i="1"/>
  <c r="AF884" i="1"/>
  <c r="AG884" i="1"/>
  <c r="AK884" i="1"/>
  <c r="AS884" i="1"/>
  <c r="AT884" i="1"/>
  <c r="B885" i="1"/>
  <c r="C885" i="1"/>
  <c r="D885" i="1"/>
  <c r="E885" i="1"/>
  <c r="F885" i="1"/>
  <c r="H885" i="1"/>
  <c r="I885" i="1"/>
  <c r="J885" i="1"/>
  <c r="K885" i="1"/>
  <c r="L885" i="1"/>
  <c r="M885" i="1"/>
  <c r="N885" i="1"/>
  <c r="O885" i="1"/>
  <c r="W885" i="1"/>
  <c r="Y885" i="1"/>
  <c r="Z885" i="1"/>
  <c r="AA885" i="1"/>
  <c r="AC885" i="1"/>
  <c r="AE885" i="1"/>
  <c r="AF885" i="1"/>
  <c r="AG885" i="1"/>
  <c r="AK885" i="1"/>
  <c r="AS885" i="1"/>
  <c r="AT885" i="1"/>
  <c r="B886" i="1"/>
  <c r="C886" i="1"/>
  <c r="D886" i="1"/>
  <c r="E886" i="1"/>
  <c r="F886" i="1"/>
  <c r="H886" i="1"/>
  <c r="I886" i="1"/>
  <c r="J886" i="1"/>
  <c r="K886" i="1"/>
  <c r="L886" i="1"/>
  <c r="M886" i="1"/>
  <c r="N886" i="1"/>
  <c r="O886" i="1"/>
  <c r="W886" i="1"/>
  <c r="Y886" i="1"/>
  <c r="Z886" i="1"/>
  <c r="AA886" i="1"/>
  <c r="AC886" i="1"/>
  <c r="AE886" i="1"/>
  <c r="AF886" i="1"/>
  <c r="AG886" i="1"/>
  <c r="AK886" i="1"/>
  <c r="AS886" i="1"/>
  <c r="AT886" i="1"/>
  <c r="B887" i="1"/>
  <c r="C887" i="1"/>
  <c r="D887" i="1"/>
  <c r="E887" i="1"/>
  <c r="F887" i="1"/>
  <c r="H887" i="1"/>
  <c r="I887" i="1"/>
  <c r="J887" i="1"/>
  <c r="K887" i="1"/>
  <c r="L887" i="1"/>
  <c r="M887" i="1"/>
  <c r="N887" i="1"/>
  <c r="O887" i="1"/>
  <c r="W887" i="1"/>
  <c r="Y887" i="1"/>
  <c r="Z887" i="1"/>
  <c r="AA887" i="1"/>
  <c r="AC887" i="1"/>
  <c r="AE887" i="1"/>
  <c r="AF887" i="1"/>
  <c r="AG887" i="1"/>
  <c r="AK887" i="1"/>
  <c r="AS887" i="1"/>
  <c r="AT887" i="1"/>
  <c r="B888" i="1"/>
  <c r="C888" i="1"/>
  <c r="D888" i="1"/>
  <c r="E888" i="1"/>
  <c r="F888" i="1"/>
  <c r="H888" i="1"/>
  <c r="I888" i="1"/>
  <c r="J888" i="1"/>
  <c r="K888" i="1"/>
  <c r="L888" i="1"/>
  <c r="M888" i="1"/>
  <c r="N888" i="1"/>
  <c r="O888" i="1"/>
  <c r="W888" i="1"/>
  <c r="Y888" i="1"/>
  <c r="Z888" i="1"/>
  <c r="AA888" i="1"/>
  <c r="AC888" i="1"/>
  <c r="AE888" i="1"/>
  <c r="AF888" i="1"/>
  <c r="AG888" i="1"/>
  <c r="AK888" i="1"/>
  <c r="AS888" i="1"/>
  <c r="AT888" i="1"/>
  <c r="B889" i="1"/>
  <c r="C889" i="1"/>
  <c r="D889" i="1"/>
  <c r="E889" i="1"/>
  <c r="F889" i="1"/>
  <c r="H889" i="1"/>
  <c r="I889" i="1"/>
  <c r="J889" i="1"/>
  <c r="K889" i="1"/>
  <c r="L889" i="1"/>
  <c r="M889" i="1"/>
  <c r="N889" i="1"/>
  <c r="O889" i="1"/>
  <c r="W889" i="1"/>
  <c r="Y889" i="1"/>
  <c r="Z889" i="1"/>
  <c r="AA889" i="1"/>
  <c r="AC889" i="1"/>
  <c r="AE889" i="1"/>
  <c r="AF889" i="1"/>
  <c r="AG889" i="1"/>
  <c r="AK889" i="1"/>
  <c r="AS889" i="1"/>
  <c r="AT889" i="1"/>
  <c r="B890" i="1"/>
  <c r="C890" i="1"/>
  <c r="D890" i="1"/>
  <c r="E890" i="1"/>
  <c r="F890" i="1"/>
  <c r="G890" i="1"/>
  <c r="H890" i="1"/>
  <c r="I890" i="1"/>
  <c r="J890" i="1"/>
  <c r="K890" i="1"/>
  <c r="L890" i="1"/>
  <c r="M890" i="1"/>
  <c r="N890" i="1"/>
  <c r="O890" i="1"/>
  <c r="W890" i="1"/>
  <c r="Y890" i="1"/>
  <c r="Z890" i="1"/>
  <c r="AA890" i="1"/>
  <c r="AC890" i="1"/>
  <c r="AE890" i="1"/>
  <c r="AF890" i="1"/>
  <c r="AG890" i="1"/>
  <c r="AK890" i="1"/>
  <c r="AS890" i="1"/>
  <c r="AT890" i="1"/>
  <c r="B891" i="1"/>
  <c r="C891" i="1"/>
  <c r="D891" i="1"/>
  <c r="E891" i="1"/>
  <c r="F891" i="1"/>
  <c r="H891" i="1"/>
  <c r="I891" i="1"/>
  <c r="J891" i="1"/>
  <c r="K891" i="1"/>
  <c r="L891" i="1"/>
  <c r="M891" i="1"/>
  <c r="N891" i="1"/>
  <c r="O891" i="1"/>
  <c r="S891" i="1"/>
  <c r="T891" i="1"/>
  <c r="U891" i="1"/>
  <c r="W891" i="1"/>
  <c r="Y891" i="1"/>
  <c r="Z891" i="1"/>
  <c r="AA891" i="1"/>
  <c r="AC891" i="1"/>
  <c r="AE891" i="1"/>
  <c r="AF891" i="1"/>
  <c r="AG891" i="1"/>
  <c r="AK891" i="1"/>
  <c r="AS891" i="1"/>
  <c r="AT891" i="1"/>
  <c r="B892" i="1"/>
  <c r="C892" i="1"/>
  <c r="D892" i="1"/>
  <c r="E892" i="1"/>
  <c r="F892" i="1"/>
  <c r="H892" i="1"/>
  <c r="I892" i="1"/>
  <c r="J892" i="1"/>
  <c r="K892" i="1"/>
  <c r="L892" i="1"/>
  <c r="M892" i="1"/>
  <c r="N892" i="1"/>
  <c r="O892" i="1"/>
  <c r="W892" i="1"/>
  <c r="Y892" i="1"/>
  <c r="Z892" i="1"/>
  <c r="AA892" i="1"/>
  <c r="AC892" i="1"/>
  <c r="AE892" i="1"/>
  <c r="AF892" i="1"/>
  <c r="AG892" i="1"/>
  <c r="AK892" i="1"/>
  <c r="AS892" i="1"/>
  <c r="AT892" i="1"/>
  <c r="B893" i="1"/>
  <c r="C893" i="1"/>
  <c r="D893" i="1"/>
  <c r="E893" i="1"/>
  <c r="F893" i="1"/>
  <c r="H893" i="1"/>
  <c r="I893" i="1"/>
  <c r="J893" i="1"/>
  <c r="K893" i="1"/>
  <c r="L893" i="1"/>
  <c r="M893" i="1"/>
  <c r="N893" i="1"/>
  <c r="O893" i="1"/>
  <c r="W893" i="1"/>
  <c r="Y893" i="1"/>
  <c r="Z893" i="1"/>
  <c r="AA893" i="1"/>
  <c r="AC893" i="1"/>
  <c r="AE893" i="1"/>
  <c r="AF893" i="1"/>
  <c r="AG893" i="1"/>
  <c r="AK893" i="1"/>
  <c r="AS893" i="1"/>
  <c r="AT893" i="1"/>
  <c r="B894" i="1"/>
  <c r="C894" i="1"/>
  <c r="D894" i="1"/>
  <c r="E894" i="1"/>
  <c r="F894" i="1"/>
  <c r="H894" i="1"/>
  <c r="I894" i="1"/>
  <c r="J894" i="1"/>
  <c r="K894" i="1"/>
  <c r="L894" i="1"/>
  <c r="M894" i="1"/>
  <c r="N894" i="1"/>
  <c r="O894" i="1"/>
  <c r="W894" i="1"/>
  <c r="Y894" i="1"/>
  <c r="Z894" i="1"/>
  <c r="AA894" i="1"/>
  <c r="AC894" i="1"/>
  <c r="AE894" i="1"/>
  <c r="AF894" i="1"/>
  <c r="AG894" i="1"/>
  <c r="AK894" i="1"/>
  <c r="AS894" i="1"/>
  <c r="AT894" i="1"/>
  <c r="B895" i="1"/>
  <c r="C895" i="1"/>
  <c r="D895" i="1"/>
  <c r="E895" i="1"/>
  <c r="F895" i="1"/>
  <c r="H895" i="1"/>
  <c r="I895" i="1"/>
  <c r="J895" i="1"/>
  <c r="K895" i="1"/>
  <c r="L895" i="1"/>
  <c r="M895" i="1"/>
  <c r="N895" i="1"/>
  <c r="O895" i="1"/>
  <c r="W895" i="1"/>
  <c r="Y895" i="1"/>
  <c r="Z895" i="1"/>
  <c r="AA895" i="1"/>
  <c r="AC895" i="1"/>
  <c r="AE895" i="1"/>
  <c r="AF895" i="1"/>
  <c r="AG895" i="1"/>
  <c r="AK895" i="1"/>
  <c r="AS895" i="1"/>
  <c r="AT895" i="1"/>
  <c r="B896" i="1"/>
  <c r="C896" i="1"/>
  <c r="D896" i="1"/>
  <c r="E896" i="1"/>
  <c r="F896" i="1"/>
  <c r="H896" i="1"/>
  <c r="I896" i="1"/>
  <c r="J896" i="1"/>
  <c r="K896" i="1"/>
  <c r="L896" i="1"/>
  <c r="M896" i="1"/>
  <c r="N896" i="1"/>
  <c r="O896" i="1"/>
  <c r="W896" i="1"/>
  <c r="Y896" i="1"/>
  <c r="Z896" i="1"/>
  <c r="AA896" i="1"/>
  <c r="AC896" i="1"/>
  <c r="AE896" i="1"/>
  <c r="AF896" i="1"/>
  <c r="AG896" i="1"/>
  <c r="AK896" i="1"/>
  <c r="AS896" i="1"/>
  <c r="AT896" i="1"/>
  <c r="B897" i="1"/>
  <c r="C897" i="1"/>
  <c r="D897" i="1"/>
  <c r="E897" i="1"/>
  <c r="F897" i="1"/>
  <c r="H897" i="1"/>
  <c r="I897" i="1"/>
  <c r="J897" i="1"/>
  <c r="K897" i="1"/>
  <c r="L897" i="1"/>
  <c r="M897" i="1"/>
  <c r="N897" i="1"/>
  <c r="O897" i="1"/>
  <c r="W897" i="1"/>
  <c r="Y897" i="1"/>
  <c r="Z897" i="1"/>
  <c r="AA897" i="1"/>
  <c r="AC897" i="1"/>
  <c r="AE897" i="1"/>
  <c r="AF897" i="1"/>
  <c r="AG897" i="1"/>
  <c r="AK897" i="1"/>
  <c r="AS897" i="1"/>
  <c r="AT897" i="1"/>
  <c r="B898" i="1"/>
  <c r="C898" i="1"/>
  <c r="D898" i="1"/>
  <c r="E898" i="1"/>
  <c r="F898" i="1"/>
  <c r="H898" i="1"/>
  <c r="I898" i="1"/>
  <c r="J898" i="1"/>
  <c r="K898" i="1"/>
  <c r="L898" i="1"/>
  <c r="M898" i="1"/>
  <c r="N898" i="1"/>
  <c r="O898" i="1"/>
  <c r="W898" i="1"/>
  <c r="Y898" i="1"/>
  <c r="Z898" i="1"/>
  <c r="AA898" i="1"/>
  <c r="AC898" i="1"/>
  <c r="AE898" i="1"/>
  <c r="AF898" i="1"/>
  <c r="AG898" i="1"/>
  <c r="AK898" i="1"/>
  <c r="AS898" i="1"/>
  <c r="AT898" i="1"/>
  <c r="B899" i="1"/>
  <c r="C899" i="1"/>
  <c r="D899" i="1"/>
  <c r="E899" i="1"/>
  <c r="F899" i="1"/>
  <c r="H899" i="1"/>
  <c r="I899" i="1"/>
  <c r="J899" i="1"/>
  <c r="K899" i="1"/>
  <c r="L899" i="1"/>
  <c r="M899" i="1"/>
  <c r="N899" i="1"/>
  <c r="O899" i="1"/>
  <c r="W899" i="1"/>
  <c r="Y899" i="1"/>
  <c r="Z899" i="1"/>
  <c r="AA899" i="1"/>
  <c r="AC899" i="1"/>
  <c r="AE899" i="1"/>
  <c r="AF899" i="1"/>
  <c r="AG899" i="1"/>
  <c r="AK899" i="1"/>
  <c r="AS899" i="1"/>
  <c r="AT899" i="1"/>
  <c r="B900" i="1"/>
  <c r="C900" i="1"/>
  <c r="D900" i="1"/>
  <c r="E900" i="1"/>
  <c r="F900" i="1"/>
  <c r="H900" i="1"/>
  <c r="I900" i="1"/>
  <c r="J900" i="1"/>
  <c r="K900" i="1"/>
  <c r="L900" i="1"/>
  <c r="M900" i="1"/>
  <c r="N900" i="1"/>
  <c r="O900" i="1"/>
  <c r="W900" i="1"/>
  <c r="Y900" i="1"/>
  <c r="Z900" i="1"/>
  <c r="AA900" i="1"/>
  <c r="AC900" i="1"/>
  <c r="AE900" i="1"/>
  <c r="AF900" i="1"/>
  <c r="AG900" i="1"/>
  <c r="AK900" i="1"/>
  <c r="AS900" i="1"/>
  <c r="AT900" i="1"/>
  <c r="B901" i="1"/>
  <c r="C901" i="1"/>
  <c r="D901" i="1"/>
  <c r="E901" i="1"/>
  <c r="F901" i="1"/>
  <c r="H901" i="1"/>
  <c r="I901" i="1"/>
  <c r="J901" i="1"/>
  <c r="K901" i="1"/>
  <c r="L901" i="1"/>
  <c r="M901" i="1"/>
  <c r="N901" i="1"/>
  <c r="O901" i="1"/>
  <c r="W901" i="1"/>
  <c r="Y901" i="1"/>
  <c r="Z901" i="1"/>
  <c r="AA901" i="1"/>
  <c r="AC901" i="1"/>
  <c r="AE901" i="1"/>
  <c r="AF901" i="1"/>
  <c r="AG901" i="1"/>
  <c r="AK901" i="1"/>
  <c r="AS901" i="1"/>
  <c r="AT901" i="1"/>
  <c r="B902" i="1"/>
  <c r="C902" i="1"/>
  <c r="D902" i="1"/>
  <c r="E902" i="1"/>
  <c r="F902" i="1"/>
  <c r="H902" i="1"/>
  <c r="I902" i="1"/>
  <c r="J902" i="1"/>
  <c r="K902" i="1"/>
  <c r="L902" i="1"/>
  <c r="M902" i="1"/>
  <c r="N902" i="1"/>
  <c r="O902" i="1"/>
  <c r="W902" i="1"/>
  <c r="Y902" i="1"/>
  <c r="Z902" i="1"/>
  <c r="AA902" i="1"/>
  <c r="AC902" i="1"/>
  <c r="AE902" i="1"/>
  <c r="AF902" i="1"/>
  <c r="AG902" i="1"/>
  <c r="AK902" i="1"/>
  <c r="AS902" i="1"/>
  <c r="AT902" i="1"/>
  <c r="B903" i="1"/>
  <c r="C903" i="1"/>
  <c r="D903" i="1"/>
  <c r="E903" i="1"/>
  <c r="F903" i="1"/>
  <c r="H903" i="1"/>
  <c r="I903" i="1"/>
  <c r="J903" i="1"/>
  <c r="K903" i="1"/>
  <c r="L903" i="1"/>
  <c r="M903" i="1"/>
  <c r="N903" i="1"/>
  <c r="O903" i="1"/>
  <c r="W903" i="1"/>
  <c r="Y903" i="1"/>
  <c r="Z903" i="1"/>
  <c r="AA903" i="1"/>
  <c r="AC903" i="1"/>
  <c r="AE903" i="1"/>
  <c r="AF903" i="1"/>
  <c r="AG903" i="1"/>
  <c r="AK903" i="1"/>
  <c r="AS903" i="1"/>
  <c r="AT903" i="1"/>
  <c r="B904" i="1"/>
  <c r="C904" i="1"/>
  <c r="D904" i="1"/>
  <c r="E904" i="1"/>
  <c r="F904" i="1"/>
  <c r="H904" i="1"/>
  <c r="I904" i="1"/>
  <c r="J904" i="1"/>
  <c r="K904" i="1"/>
  <c r="L904" i="1"/>
  <c r="M904" i="1"/>
  <c r="N904" i="1"/>
  <c r="O904" i="1"/>
  <c r="W904" i="1"/>
  <c r="Y904" i="1"/>
  <c r="Z904" i="1"/>
  <c r="AA904" i="1"/>
  <c r="AC904" i="1"/>
  <c r="AE904" i="1"/>
  <c r="AF904" i="1"/>
  <c r="AG904" i="1"/>
  <c r="AK904" i="1"/>
  <c r="AS904" i="1"/>
  <c r="AT904" i="1"/>
  <c r="B905" i="1"/>
  <c r="C905" i="1"/>
  <c r="D905" i="1"/>
  <c r="E905" i="1"/>
  <c r="F905" i="1"/>
  <c r="H905" i="1"/>
  <c r="I905" i="1"/>
  <c r="J905" i="1"/>
  <c r="K905" i="1"/>
  <c r="L905" i="1"/>
  <c r="M905" i="1"/>
  <c r="N905" i="1"/>
  <c r="O905" i="1"/>
  <c r="W905" i="1"/>
  <c r="Y905" i="1"/>
  <c r="Z905" i="1"/>
  <c r="AA905" i="1"/>
  <c r="AC905" i="1"/>
  <c r="AE905" i="1"/>
  <c r="AF905" i="1"/>
  <c r="AG905" i="1"/>
  <c r="AK905" i="1"/>
  <c r="AS905" i="1"/>
  <c r="AT905" i="1"/>
  <c r="B906" i="1"/>
  <c r="C906" i="1"/>
  <c r="D906" i="1"/>
  <c r="E906" i="1"/>
  <c r="F906" i="1"/>
  <c r="H906" i="1"/>
  <c r="I906" i="1"/>
  <c r="J906" i="1"/>
  <c r="K906" i="1"/>
  <c r="L906" i="1"/>
  <c r="M906" i="1"/>
  <c r="N906" i="1"/>
  <c r="O906" i="1"/>
  <c r="W906" i="1"/>
  <c r="Y906" i="1"/>
  <c r="Z906" i="1"/>
  <c r="AA906" i="1"/>
  <c r="AC906" i="1"/>
  <c r="AE906" i="1"/>
  <c r="AF906" i="1"/>
  <c r="AG906" i="1"/>
  <c r="AK906" i="1"/>
  <c r="AS906" i="1"/>
  <c r="AT906" i="1"/>
  <c r="B907" i="1"/>
  <c r="C907" i="1"/>
  <c r="D907" i="1"/>
  <c r="E907" i="1"/>
  <c r="F907" i="1"/>
  <c r="H907" i="1"/>
  <c r="I907" i="1"/>
  <c r="J907" i="1"/>
  <c r="K907" i="1"/>
  <c r="L907" i="1"/>
  <c r="M907" i="1"/>
  <c r="N907" i="1"/>
  <c r="O907" i="1"/>
  <c r="W907" i="1"/>
  <c r="Y907" i="1"/>
  <c r="Z907" i="1"/>
  <c r="AA907" i="1"/>
  <c r="AC907" i="1"/>
  <c r="AE907" i="1"/>
  <c r="AF907" i="1"/>
  <c r="AG907" i="1"/>
  <c r="AK907" i="1"/>
  <c r="AS907" i="1"/>
  <c r="AT907" i="1"/>
  <c r="B908" i="1"/>
  <c r="C908" i="1"/>
  <c r="D908" i="1"/>
  <c r="E908" i="1"/>
  <c r="F908" i="1"/>
  <c r="H908" i="1"/>
  <c r="I908" i="1"/>
  <c r="J908" i="1"/>
  <c r="K908" i="1"/>
  <c r="L908" i="1"/>
  <c r="M908" i="1"/>
  <c r="N908" i="1"/>
  <c r="O908" i="1"/>
  <c r="S908" i="1"/>
  <c r="T908" i="1"/>
  <c r="U908" i="1"/>
  <c r="W908" i="1"/>
  <c r="Y908" i="1"/>
  <c r="Z908" i="1"/>
  <c r="AA908" i="1"/>
  <c r="AC908" i="1"/>
  <c r="AE908" i="1"/>
  <c r="AF908" i="1"/>
  <c r="AG908" i="1"/>
  <c r="AK908" i="1"/>
  <c r="AS908" i="1"/>
  <c r="AT908" i="1"/>
  <c r="B909" i="1"/>
  <c r="C909" i="1"/>
  <c r="D909" i="1"/>
  <c r="E909" i="1"/>
  <c r="F909" i="1"/>
  <c r="G909" i="1"/>
  <c r="H909" i="1"/>
  <c r="I909" i="1"/>
  <c r="J909" i="1"/>
  <c r="K909" i="1"/>
  <c r="L909" i="1"/>
  <c r="M909" i="1"/>
  <c r="N909" i="1"/>
  <c r="O909" i="1"/>
  <c r="W909" i="1"/>
  <c r="Y909" i="1"/>
  <c r="Z909" i="1"/>
  <c r="AA909" i="1"/>
  <c r="AC909" i="1"/>
  <c r="AE909" i="1"/>
  <c r="AF909" i="1"/>
  <c r="AG909" i="1"/>
  <c r="AK909" i="1"/>
  <c r="AS909" i="1"/>
  <c r="AT909" i="1"/>
  <c r="B910" i="1"/>
  <c r="C910" i="1"/>
  <c r="D910" i="1"/>
  <c r="E910" i="1"/>
  <c r="F910" i="1"/>
  <c r="G910" i="1"/>
  <c r="H910" i="1"/>
  <c r="I910" i="1"/>
  <c r="J910" i="1"/>
  <c r="K910" i="1"/>
  <c r="L910" i="1"/>
  <c r="M910" i="1"/>
  <c r="N910" i="1"/>
  <c r="O910" i="1"/>
  <c r="W910" i="1"/>
  <c r="Y910" i="1"/>
  <c r="Z910" i="1"/>
  <c r="AA910" i="1"/>
  <c r="AC910" i="1"/>
  <c r="AE910" i="1"/>
  <c r="AF910" i="1"/>
  <c r="AG910" i="1"/>
  <c r="AK910" i="1"/>
  <c r="AS910" i="1"/>
  <c r="AT910" i="1"/>
  <c r="B911" i="1"/>
  <c r="C911" i="1"/>
  <c r="D911" i="1"/>
  <c r="E911" i="1"/>
  <c r="F911" i="1"/>
  <c r="G911" i="1"/>
  <c r="H911" i="1"/>
  <c r="I911" i="1"/>
  <c r="J911" i="1"/>
  <c r="K911" i="1"/>
  <c r="L911" i="1"/>
  <c r="M911" i="1"/>
  <c r="N911" i="1"/>
  <c r="O911" i="1"/>
  <c r="W911" i="1"/>
  <c r="Y911" i="1"/>
  <c r="Z911" i="1"/>
  <c r="AA911" i="1"/>
  <c r="AC911" i="1"/>
  <c r="AE911" i="1"/>
  <c r="AF911" i="1"/>
  <c r="AG911" i="1"/>
  <c r="AK911" i="1"/>
  <c r="AS911" i="1"/>
  <c r="AT911" i="1"/>
  <c r="B912" i="1"/>
  <c r="C912" i="1"/>
  <c r="D912" i="1"/>
  <c r="E912" i="1"/>
  <c r="F912" i="1"/>
  <c r="H912" i="1"/>
  <c r="I912" i="1"/>
  <c r="J912" i="1"/>
  <c r="K912" i="1"/>
  <c r="L912" i="1"/>
  <c r="M912" i="1"/>
  <c r="N912" i="1"/>
  <c r="O912" i="1"/>
  <c r="W912" i="1"/>
  <c r="Y912" i="1"/>
  <c r="Z912" i="1"/>
  <c r="AA912" i="1"/>
  <c r="AC912" i="1"/>
  <c r="AE912" i="1"/>
  <c r="AF912" i="1"/>
  <c r="AG912" i="1"/>
  <c r="AK912" i="1"/>
  <c r="AS912" i="1"/>
  <c r="AT912" i="1"/>
  <c r="B913" i="1"/>
  <c r="C913" i="1"/>
  <c r="D913" i="1"/>
  <c r="E913" i="1"/>
  <c r="F913" i="1"/>
  <c r="H913" i="1"/>
  <c r="I913" i="1"/>
  <c r="J913" i="1"/>
  <c r="K913" i="1"/>
  <c r="L913" i="1"/>
  <c r="M913" i="1"/>
  <c r="N913" i="1"/>
  <c r="O913" i="1"/>
  <c r="W913" i="1"/>
  <c r="Y913" i="1"/>
  <c r="Z913" i="1"/>
  <c r="AA913" i="1"/>
  <c r="AC913" i="1"/>
  <c r="AE913" i="1"/>
  <c r="AF913" i="1"/>
  <c r="AG913" i="1"/>
  <c r="AK913" i="1"/>
  <c r="AS913" i="1"/>
  <c r="AT913" i="1"/>
  <c r="B914" i="1"/>
  <c r="C914" i="1"/>
  <c r="D914" i="1"/>
  <c r="E914" i="1"/>
  <c r="F914" i="1"/>
  <c r="G914" i="1"/>
  <c r="H914" i="1"/>
  <c r="I914" i="1"/>
  <c r="J914" i="1"/>
  <c r="K914" i="1"/>
  <c r="L914" i="1"/>
  <c r="M914" i="1"/>
  <c r="N914" i="1"/>
  <c r="O914" i="1"/>
  <c r="W914" i="1"/>
  <c r="Y914" i="1"/>
  <c r="Z914" i="1"/>
  <c r="AA914" i="1"/>
  <c r="AC914" i="1"/>
  <c r="AE914" i="1"/>
  <c r="AF914" i="1"/>
  <c r="AG914" i="1"/>
  <c r="AK914" i="1"/>
  <c r="AS914" i="1"/>
  <c r="AT914" i="1"/>
  <c r="B915" i="1"/>
  <c r="C915" i="1"/>
  <c r="D915" i="1"/>
  <c r="E915" i="1"/>
  <c r="F915" i="1"/>
  <c r="H915" i="1"/>
  <c r="I915" i="1"/>
  <c r="J915" i="1"/>
  <c r="K915" i="1"/>
  <c r="L915" i="1"/>
  <c r="M915" i="1"/>
  <c r="N915" i="1"/>
  <c r="O915" i="1"/>
  <c r="W915" i="1"/>
  <c r="Y915" i="1"/>
  <c r="Z915" i="1"/>
  <c r="AA915" i="1"/>
  <c r="AC915" i="1"/>
  <c r="AE915" i="1"/>
  <c r="AF915" i="1"/>
  <c r="AG915" i="1"/>
  <c r="AK915" i="1"/>
  <c r="AS915" i="1"/>
  <c r="AT915" i="1"/>
  <c r="B916" i="1"/>
  <c r="C916" i="1"/>
  <c r="D916" i="1"/>
  <c r="E916" i="1"/>
  <c r="F916" i="1"/>
  <c r="G916" i="1"/>
  <c r="H916" i="1"/>
  <c r="I916" i="1"/>
  <c r="J916" i="1"/>
  <c r="K916" i="1"/>
  <c r="L916" i="1"/>
  <c r="M916" i="1"/>
  <c r="N916" i="1"/>
  <c r="O916" i="1"/>
  <c r="W916" i="1"/>
  <c r="Y916" i="1"/>
  <c r="Z916" i="1"/>
  <c r="AA916" i="1"/>
  <c r="AC916" i="1"/>
  <c r="AE916" i="1"/>
  <c r="AF916" i="1"/>
  <c r="AG916" i="1"/>
  <c r="AK916" i="1"/>
  <c r="AS916" i="1"/>
  <c r="AT916" i="1"/>
  <c r="B917" i="1"/>
  <c r="C917" i="1"/>
  <c r="D917" i="1"/>
  <c r="E917" i="1"/>
  <c r="F917" i="1"/>
  <c r="H917" i="1"/>
  <c r="I917" i="1"/>
  <c r="J917" i="1"/>
  <c r="K917" i="1"/>
  <c r="L917" i="1"/>
  <c r="M917" i="1"/>
  <c r="N917" i="1"/>
  <c r="O917" i="1"/>
  <c r="W917" i="1"/>
  <c r="Y917" i="1"/>
  <c r="Z917" i="1"/>
  <c r="AA917" i="1"/>
  <c r="AC917" i="1"/>
  <c r="AE917" i="1"/>
  <c r="AF917" i="1"/>
  <c r="AG917" i="1"/>
  <c r="AK917" i="1"/>
  <c r="AS917" i="1"/>
  <c r="AT917" i="1"/>
  <c r="B918" i="1"/>
  <c r="C918" i="1"/>
  <c r="D918" i="1"/>
  <c r="E918" i="1"/>
  <c r="F918" i="1"/>
  <c r="H918" i="1"/>
  <c r="I918" i="1"/>
  <c r="J918" i="1"/>
  <c r="K918" i="1"/>
  <c r="L918" i="1"/>
  <c r="M918" i="1"/>
  <c r="N918" i="1"/>
  <c r="O918" i="1"/>
  <c r="W918" i="1"/>
  <c r="Y918" i="1"/>
  <c r="Z918" i="1"/>
  <c r="AA918" i="1"/>
  <c r="AC918" i="1"/>
  <c r="AE918" i="1"/>
  <c r="AF918" i="1"/>
  <c r="AG918" i="1"/>
  <c r="AK918" i="1"/>
  <c r="AS918" i="1"/>
  <c r="AT918" i="1"/>
  <c r="B919" i="1"/>
  <c r="C919" i="1"/>
  <c r="D919" i="1"/>
  <c r="E919" i="1"/>
  <c r="F919" i="1"/>
  <c r="G919" i="1"/>
  <c r="H919" i="1"/>
  <c r="I919" i="1"/>
  <c r="J919" i="1"/>
  <c r="K919" i="1"/>
  <c r="L919" i="1"/>
  <c r="M919" i="1"/>
  <c r="N919" i="1"/>
  <c r="O919" i="1"/>
  <c r="W919" i="1"/>
  <c r="Y919" i="1"/>
  <c r="Z919" i="1"/>
  <c r="AA919" i="1"/>
  <c r="AC919" i="1"/>
  <c r="AE919" i="1"/>
  <c r="AF919" i="1"/>
  <c r="AG919" i="1"/>
  <c r="AK919" i="1"/>
  <c r="AS919" i="1"/>
  <c r="AT919" i="1"/>
  <c r="B920" i="1"/>
  <c r="C920" i="1"/>
  <c r="D920" i="1"/>
  <c r="E920" i="1"/>
  <c r="F920" i="1"/>
  <c r="H920" i="1"/>
  <c r="I920" i="1"/>
  <c r="J920" i="1"/>
  <c r="K920" i="1"/>
  <c r="L920" i="1"/>
  <c r="M920" i="1"/>
  <c r="N920" i="1"/>
  <c r="O920" i="1"/>
  <c r="W920" i="1"/>
  <c r="Y920" i="1"/>
  <c r="Z920" i="1"/>
  <c r="AA920" i="1"/>
  <c r="AC920" i="1"/>
  <c r="AE920" i="1"/>
  <c r="AF920" i="1"/>
  <c r="AG920" i="1"/>
  <c r="AK920" i="1"/>
  <c r="AS920" i="1"/>
  <c r="AT920" i="1"/>
  <c r="B921" i="1"/>
  <c r="C921" i="1"/>
  <c r="D921" i="1"/>
  <c r="E921" i="1"/>
  <c r="F921" i="1"/>
  <c r="H921" i="1"/>
  <c r="I921" i="1"/>
  <c r="J921" i="1"/>
  <c r="K921" i="1"/>
  <c r="L921" i="1"/>
  <c r="M921" i="1"/>
  <c r="N921" i="1"/>
  <c r="O921" i="1"/>
  <c r="W921" i="1"/>
  <c r="Y921" i="1"/>
  <c r="Z921" i="1"/>
  <c r="AA921" i="1"/>
  <c r="AC921" i="1"/>
  <c r="AE921" i="1"/>
  <c r="AF921" i="1"/>
  <c r="AG921" i="1"/>
  <c r="AK921" i="1"/>
  <c r="AS921" i="1"/>
  <c r="AT921" i="1"/>
  <c r="B922" i="1"/>
  <c r="C922" i="1"/>
  <c r="D922" i="1"/>
  <c r="E922" i="1"/>
  <c r="F922" i="1"/>
  <c r="H922" i="1"/>
  <c r="I922" i="1"/>
  <c r="J922" i="1"/>
  <c r="K922" i="1"/>
  <c r="L922" i="1"/>
  <c r="M922" i="1"/>
  <c r="N922" i="1"/>
  <c r="O922" i="1"/>
  <c r="W922" i="1"/>
  <c r="Y922" i="1"/>
  <c r="Z922" i="1"/>
  <c r="AA922" i="1"/>
  <c r="AC922" i="1"/>
  <c r="AE922" i="1"/>
  <c r="AF922" i="1"/>
  <c r="AG922" i="1"/>
  <c r="AK922" i="1"/>
  <c r="AS922" i="1"/>
  <c r="AT922" i="1"/>
  <c r="B923" i="1"/>
  <c r="C923" i="1"/>
  <c r="D923" i="1"/>
  <c r="E923" i="1"/>
  <c r="F923" i="1"/>
  <c r="H923" i="1"/>
  <c r="I923" i="1"/>
  <c r="J923" i="1"/>
  <c r="K923" i="1"/>
  <c r="L923" i="1"/>
  <c r="M923" i="1"/>
  <c r="N923" i="1"/>
  <c r="O923" i="1"/>
  <c r="W923" i="1"/>
  <c r="Y923" i="1"/>
  <c r="Z923" i="1"/>
  <c r="AA923" i="1"/>
  <c r="AC923" i="1"/>
  <c r="AE923" i="1"/>
  <c r="AF923" i="1"/>
  <c r="AG923" i="1"/>
  <c r="AK923" i="1"/>
  <c r="AS923" i="1"/>
  <c r="AT923" i="1"/>
  <c r="B924" i="1"/>
  <c r="C924" i="1"/>
  <c r="D924" i="1"/>
  <c r="E924" i="1"/>
  <c r="F924" i="1"/>
  <c r="H924" i="1"/>
  <c r="I924" i="1"/>
  <c r="J924" i="1"/>
  <c r="K924" i="1"/>
  <c r="L924" i="1"/>
  <c r="M924" i="1"/>
  <c r="N924" i="1"/>
  <c r="O924" i="1"/>
  <c r="S924" i="1"/>
  <c r="W924" i="1"/>
  <c r="Y924" i="1"/>
  <c r="Z924" i="1"/>
  <c r="AA924" i="1"/>
  <c r="AC924" i="1"/>
  <c r="AE924" i="1"/>
  <c r="AF924" i="1"/>
  <c r="AG924" i="1"/>
  <c r="AK924" i="1"/>
  <c r="AS924" i="1"/>
  <c r="AT924" i="1"/>
  <c r="B925" i="1"/>
  <c r="C925" i="1"/>
  <c r="D925" i="1"/>
  <c r="E925" i="1"/>
  <c r="F925" i="1"/>
  <c r="H925" i="1"/>
  <c r="I925" i="1"/>
  <c r="J925" i="1"/>
  <c r="K925" i="1"/>
  <c r="L925" i="1"/>
  <c r="M925" i="1"/>
  <c r="N925" i="1"/>
  <c r="O925" i="1"/>
  <c r="W925" i="1"/>
  <c r="Y925" i="1"/>
  <c r="Z925" i="1"/>
  <c r="AA925" i="1"/>
  <c r="AC925" i="1"/>
  <c r="AE925" i="1"/>
  <c r="AF925" i="1"/>
  <c r="AG925" i="1"/>
  <c r="AK925" i="1"/>
  <c r="AS925" i="1"/>
  <c r="AT925" i="1"/>
  <c r="B926" i="1"/>
  <c r="C926" i="1"/>
  <c r="D926" i="1"/>
  <c r="E926" i="1"/>
  <c r="F926" i="1"/>
  <c r="H926" i="1"/>
  <c r="I926" i="1"/>
  <c r="J926" i="1"/>
  <c r="K926" i="1"/>
  <c r="L926" i="1"/>
  <c r="M926" i="1"/>
  <c r="N926" i="1"/>
  <c r="O926" i="1"/>
  <c r="W926" i="1"/>
  <c r="Y926" i="1"/>
  <c r="Z926" i="1"/>
  <c r="AA926" i="1"/>
  <c r="AC926" i="1"/>
  <c r="AE926" i="1"/>
  <c r="AF926" i="1"/>
  <c r="AG926" i="1"/>
  <c r="AK926" i="1"/>
  <c r="AS926" i="1"/>
  <c r="AT926" i="1"/>
  <c r="B927" i="1"/>
  <c r="C927" i="1"/>
  <c r="D927" i="1"/>
  <c r="E927" i="1"/>
  <c r="F927" i="1"/>
  <c r="H927" i="1"/>
  <c r="I927" i="1"/>
  <c r="J927" i="1"/>
  <c r="K927" i="1"/>
  <c r="L927" i="1"/>
  <c r="M927" i="1"/>
  <c r="N927" i="1"/>
  <c r="O927" i="1"/>
  <c r="W927" i="1"/>
  <c r="Y927" i="1"/>
  <c r="Z927" i="1"/>
  <c r="AA927" i="1"/>
  <c r="AC927" i="1"/>
  <c r="AE927" i="1"/>
  <c r="AF927" i="1"/>
  <c r="AG927" i="1"/>
  <c r="AK927" i="1"/>
  <c r="AS927" i="1"/>
  <c r="AT927" i="1"/>
  <c r="B928" i="1"/>
  <c r="C928" i="1"/>
  <c r="D928" i="1"/>
  <c r="E928" i="1"/>
  <c r="F928" i="1"/>
  <c r="H928" i="1"/>
  <c r="I928" i="1"/>
  <c r="J928" i="1"/>
  <c r="K928" i="1"/>
  <c r="L928" i="1"/>
  <c r="M928" i="1"/>
  <c r="N928" i="1"/>
  <c r="O928" i="1"/>
  <c r="W928" i="1"/>
  <c r="Y928" i="1"/>
  <c r="Z928" i="1"/>
  <c r="AA928" i="1"/>
  <c r="AC928" i="1"/>
  <c r="AE928" i="1"/>
  <c r="AF928" i="1"/>
  <c r="AG928" i="1"/>
  <c r="AK928" i="1"/>
  <c r="AS928" i="1"/>
  <c r="AT928" i="1"/>
  <c r="B929" i="1"/>
  <c r="C929" i="1"/>
  <c r="D929" i="1"/>
  <c r="E929" i="1"/>
  <c r="F929" i="1"/>
  <c r="H929" i="1"/>
  <c r="I929" i="1"/>
  <c r="J929" i="1"/>
  <c r="K929" i="1"/>
  <c r="L929" i="1"/>
  <c r="M929" i="1"/>
  <c r="N929" i="1"/>
  <c r="O929" i="1"/>
  <c r="W929" i="1"/>
  <c r="Y929" i="1"/>
  <c r="Z929" i="1"/>
  <c r="AA929" i="1"/>
  <c r="AC929" i="1"/>
  <c r="AE929" i="1"/>
  <c r="AF929" i="1"/>
  <c r="AG929" i="1"/>
  <c r="AK929" i="1"/>
  <c r="AS929" i="1"/>
  <c r="AT929" i="1"/>
  <c r="B930" i="1"/>
  <c r="C930" i="1"/>
  <c r="D930" i="1"/>
  <c r="E930" i="1"/>
  <c r="F930" i="1"/>
  <c r="H930" i="1"/>
  <c r="I930" i="1"/>
  <c r="J930" i="1"/>
  <c r="K930" i="1"/>
  <c r="L930" i="1"/>
  <c r="M930" i="1"/>
  <c r="N930" i="1"/>
  <c r="O930" i="1"/>
  <c r="W930" i="1"/>
  <c r="Y930" i="1"/>
  <c r="Z930" i="1"/>
  <c r="AA930" i="1"/>
  <c r="AC930" i="1"/>
  <c r="AE930" i="1"/>
  <c r="AF930" i="1"/>
  <c r="AG930" i="1"/>
  <c r="AK930" i="1"/>
  <c r="AS930" i="1"/>
  <c r="AT930" i="1"/>
  <c r="B931" i="1"/>
  <c r="C931" i="1"/>
  <c r="D931" i="1"/>
  <c r="E931" i="1"/>
  <c r="F931" i="1"/>
  <c r="G931" i="1"/>
  <c r="H931" i="1"/>
  <c r="I931" i="1"/>
  <c r="J931" i="1"/>
  <c r="K931" i="1"/>
  <c r="L931" i="1"/>
  <c r="M931" i="1"/>
  <c r="N931" i="1"/>
  <c r="O931" i="1"/>
  <c r="W931" i="1"/>
  <c r="Y931" i="1"/>
  <c r="Z931" i="1"/>
  <c r="AA931" i="1"/>
  <c r="AC931" i="1"/>
  <c r="AE931" i="1"/>
  <c r="AF931" i="1"/>
  <c r="AG931" i="1"/>
  <c r="AK931" i="1"/>
  <c r="AS931" i="1"/>
  <c r="AT931" i="1"/>
  <c r="B932" i="1"/>
  <c r="C932" i="1"/>
  <c r="D932" i="1"/>
  <c r="E932" i="1"/>
  <c r="F932" i="1"/>
  <c r="H932" i="1"/>
  <c r="I932" i="1"/>
  <c r="J932" i="1"/>
  <c r="K932" i="1"/>
  <c r="L932" i="1"/>
  <c r="M932" i="1"/>
  <c r="N932" i="1"/>
  <c r="O932" i="1"/>
  <c r="S932" i="1"/>
  <c r="U932" i="1"/>
  <c r="W932" i="1"/>
  <c r="Y932" i="1"/>
  <c r="Z932" i="1"/>
  <c r="AA932" i="1"/>
  <c r="AC932" i="1"/>
  <c r="AE932" i="1"/>
  <c r="AF932" i="1"/>
  <c r="AG932" i="1"/>
  <c r="AK932" i="1"/>
  <c r="AS932" i="1"/>
  <c r="AT932" i="1"/>
  <c r="B933" i="1"/>
  <c r="C933" i="1"/>
  <c r="D933" i="1"/>
  <c r="E933" i="1"/>
  <c r="F933" i="1"/>
  <c r="G933" i="1"/>
  <c r="H933" i="1"/>
  <c r="I933" i="1"/>
  <c r="J933" i="1"/>
  <c r="K933" i="1"/>
  <c r="L933" i="1"/>
  <c r="M933" i="1"/>
  <c r="N933" i="1"/>
  <c r="O933" i="1"/>
  <c r="W933" i="1"/>
  <c r="Y933" i="1"/>
  <c r="Z933" i="1"/>
  <c r="AA933" i="1"/>
  <c r="AC933" i="1"/>
  <c r="AE933" i="1"/>
  <c r="AF933" i="1"/>
  <c r="AG933" i="1"/>
  <c r="AK933" i="1"/>
  <c r="AS933" i="1"/>
  <c r="AT933" i="1"/>
  <c r="B934" i="1"/>
  <c r="C934" i="1"/>
  <c r="D934" i="1"/>
  <c r="E934" i="1"/>
  <c r="F934" i="1"/>
  <c r="H934" i="1"/>
  <c r="I934" i="1"/>
  <c r="J934" i="1"/>
  <c r="K934" i="1"/>
  <c r="L934" i="1"/>
  <c r="M934" i="1"/>
  <c r="N934" i="1"/>
  <c r="O934" i="1"/>
  <c r="W934" i="1"/>
  <c r="Y934" i="1"/>
  <c r="Z934" i="1"/>
  <c r="AA934" i="1"/>
  <c r="AC934" i="1"/>
  <c r="AE934" i="1"/>
  <c r="AF934" i="1"/>
  <c r="AG934" i="1"/>
  <c r="AK934" i="1"/>
  <c r="AS934" i="1"/>
  <c r="AT934" i="1"/>
  <c r="B935" i="1"/>
  <c r="C935" i="1"/>
  <c r="D935" i="1"/>
  <c r="E935" i="1"/>
  <c r="F935" i="1"/>
  <c r="H935" i="1"/>
  <c r="I935" i="1"/>
  <c r="J935" i="1"/>
  <c r="K935" i="1"/>
  <c r="L935" i="1"/>
  <c r="M935" i="1"/>
  <c r="N935" i="1"/>
  <c r="O935" i="1"/>
  <c r="W935" i="1"/>
  <c r="Y935" i="1"/>
  <c r="Z935" i="1"/>
  <c r="AA935" i="1"/>
  <c r="AC935" i="1"/>
  <c r="AE935" i="1"/>
  <c r="AF935" i="1"/>
  <c r="AG935" i="1"/>
  <c r="AK935" i="1"/>
  <c r="AS935" i="1"/>
  <c r="AT935" i="1"/>
  <c r="B936" i="1"/>
  <c r="C936" i="1"/>
  <c r="D936" i="1"/>
  <c r="E936" i="1"/>
  <c r="H936" i="1"/>
  <c r="I936" i="1"/>
  <c r="J936" i="1"/>
  <c r="K936" i="1"/>
  <c r="L936" i="1"/>
  <c r="M936" i="1"/>
  <c r="N936" i="1"/>
  <c r="O936" i="1"/>
  <c r="W936" i="1"/>
  <c r="Y936" i="1"/>
  <c r="Z936" i="1"/>
  <c r="AA936" i="1"/>
  <c r="AC936" i="1"/>
  <c r="AE936" i="1"/>
  <c r="AF936" i="1"/>
  <c r="AG936" i="1"/>
  <c r="AK936" i="1"/>
  <c r="AS936" i="1"/>
  <c r="AT936" i="1"/>
  <c r="B937" i="1"/>
  <c r="C937" i="1"/>
  <c r="D937" i="1"/>
  <c r="E937" i="1"/>
  <c r="F937" i="1"/>
  <c r="H937" i="1"/>
  <c r="I937" i="1"/>
  <c r="J937" i="1"/>
  <c r="K937" i="1"/>
  <c r="L937" i="1"/>
  <c r="M937" i="1"/>
  <c r="N937" i="1"/>
  <c r="O937" i="1"/>
  <c r="W937" i="1"/>
  <c r="Y937" i="1"/>
  <c r="Z937" i="1"/>
  <c r="AA937" i="1"/>
  <c r="AC937" i="1"/>
  <c r="AE937" i="1"/>
  <c r="AF937" i="1"/>
  <c r="AG937" i="1"/>
  <c r="AK937" i="1"/>
  <c r="AS937" i="1"/>
  <c r="AT937" i="1"/>
  <c r="B938" i="1"/>
  <c r="C938" i="1"/>
  <c r="D938" i="1"/>
  <c r="E938" i="1"/>
  <c r="F938" i="1"/>
  <c r="H938" i="1"/>
  <c r="I938" i="1"/>
  <c r="J938" i="1"/>
  <c r="K938" i="1"/>
  <c r="L938" i="1"/>
  <c r="M938" i="1"/>
  <c r="N938" i="1"/>
  <c r="O938" i="1"/>
  <c r="W938" i="1"/>
  <c r="Y938" i="1"/>
  <c r="Z938" i="1"/>
  <c r="AA938" i="1"/>
  <c r="AC938" i="1"/>
  <c r="AE938" i="1"/>
  <c r="AF938" i="1"/>
  <c r="AG938" i="1"/>
  <c r="AK938" i="1"/>
  <c r="AS938" i="1"/>
  <c r="AT938" i="1"/>
  <c r="B939" i="1"/>
  <c r="C939" i="1"/>
  <c r="D939" i="1"/>
  <c r="E939" i="1"/>
  <c r="F939" i="1"/>
  <c r="H939" i="1"/>
  <c r="I939" i="1"/>
  <c r="J939" i="1"/>
  <c r="K939" i="1"/>
  <c r="L939" i="1"/>
  <c r="M939" i="1"/>
  <c r="N939" i="1"/>
  <c r="O939" i="1"/>
  <c r="W939" i="1"/>
  <c r="Y939" i="1"/>
  <c r="Z939" i="1"/>
  <c r="AA939" i="1"/>
  <c r="AC939" i="1"/>
  <c r="AE939" i="1"/>
  <c r="AF939" i="1"/>
  <c r="AG939" i="1"/>
  <c r="AK939" i="1"/>
  <c r="AS939" i="1"/>
  <c r="AT939" i="1"/>
  <c r="B940" i="1"/>
  <c r="C940" i="1"/>
  <c r="D940" i="1"/>
  <c r="E940" i="1"/>
  <c r="F940" i="1"/>
  <c r="H940" i="1"/>
  <c r="I940" i="1"/>
  <c r="J940" i="1"/>
  <c r="K940" i="1"/>
  <c r="L940" i="1"/>
  <c r="M940" i="1"/>
  <c r="N940" i="1"/>
  <c r="O940" i="1"/>
  <c r="W940" i="1"/>
  <c r="Y940" i="1"/>
  <c r="Z940" i="1"/>
  <c r="AA940" i="1"/>
  <c r="AC940" i="1"/>
  <c r="AE940" i="1"/>
  <c r="AF940" i="1"/>
  <c r="AG940" i="1"/>
  <c r="AK940" i="1"/>
  <c r="AS940" i="1"/>
  <c r="AT940" i="1"/>
  <c r="B941" i="1"/>
  <c r="C941" i="1"/>
  <c r="D941" i="1"/>
  <c r="E941" i="1"/>
  <c r="F941" i="1"/>
  <c r="G941" i="1"/>
  <c r="H941" i="1"/>
  <c r="I941" i="1"/>
  <c r="J941" i="1"/>
  <c r="K941" i="1"/>
  <c r="L941" i="1"/>
  <c r="M941" i="1"/>
  <c r="N941" i="1"/>
  <c r="O941" i="1"/>
  <c r="W941" i="1"/>
  <c r="Y941" i="1"/>
  <c r="Z941" i="1"/>
  <c r="AA941" i="1"/>
  <c r="AC941" i="1"/>
  <c r="AE941" i="1"/>
  <c r="AF941" i="1"/>
  <c r="AG941" i="1"/>
  <c r="AK941" i="1"/>
  <c r="AS941" i="1"/>
  <c r="AT941" i="1"/>
  <c r="B942" i="1"/>
  <c r="C942" i="1"/>
  <c r="D942" i="1"/>
  <c r="E942" i="1"/>
  <c r="F942" i="1"/>
  <c r="H942" i="1"/>
  <c r="I942" i="1"/>
  <c r="J942" i="1"/>
  <c r="K942" i="1"/>
  <c r="L942" i="1"/>
  <c r="M942" i="1"/>
  <c r="N942" i="1"/>
  <c r="O942" i="1"/>
  <c r="W942" i="1"/>
  <c r="Y942" i="1"/>
  <c r="Z942" i="1"/>
  <c r="AA942" i="1"/>
  <c r="AC942" i="1"/>
  <c r="AE942" i="1"/>
  <c r="AF942" i="1"/>
  <c r="AG942" i="1"/>
  <c r="AK942" i="1"/>
  <c r="AS942" i="1"/>
  <c r="AT942" i="1"/>
  <c r="B943" i="1"/>
  <c r="C943" i="1"/>
  <c r="D943" i="1"/>
  <c r="E943" i="1"/>
  <c r="F943" i="1"/>
  <c r="G943" i="1"/>
  <c r="H943" i="1"/>
  <c r="I943" i="1"/>
  <c r="J943" i="1"/>
  <c r="K943" i="1"/>
  <c r="L943" i="1"/>
  <c r="M943" i="1"/>
  <c r="N943" i="1"/>
  <c r="O943" i="1"/>
  <c r="W943" i="1"/>
  <c r="Y943" i="1"/>
  <c r="Z943" i="1"/>
  <c r="AA943" i="1"/>
  <c r="AC943" i="1"/>
  <c r="AE943" i="1"/>
  <c r="AF943" i="1"/>
  <c r="AG943" i="1"/>
  <c r="AK943" i="1"/>
  <c r="AS943" i="1"/>
  <c r="AT943" i="1"/>
  <c r="B944" i="1"/>
  <c r="C944" i="1"/>
  <c r="D944" i="1"/>
  <c r="E944" i="1"/>
  <c r="F944" i="1"/>
  <c r="H944" i="1"/>
  <c r="I944" i="1"/>
  <c r="J944" i="1"/>
  <c r="K944" i="1"/>
  <c r="L944" i="1"/>
  <c r="M944" i="1"/>
  <c r="N944" i="1"/>
  <c r="O944" i="1"/>
  <c r="S944" i="1"/>
  <c r="T944" i="1"/>
  <c r="U944" i="1"/>
  <c r="W944" i="1"/>
  <c r="Y944" i="1"/>
  <c r="Z944" i="1"/>
  <c r="AA944" i="1"/>
  <c r="AC944" i="1"/>
  <c r="AE944" i="1"/>
  <c r="AF944" i="1"/>
  <c r="AG944" i="1"/>
  <c r="AK944" i="1"/>
  <c r="AS944" i="1"/>
  <c r="AT944" i="1"/>
  <c r="B945" i="1"/>
  <c r="C945" i="1"/>
  <c r="D945" i="1"/>
  <c r="E945" i="1"/>
  <c r="F945" i="1"/>
  <c r="G945" i="1"/>
  <c r="H945" i="1"/>
  <c r="I945" i="1"/>
  <c r="J945" i="1"/>
  <c r="K945" i="1"/>
  <c r="L945" i="1"/>
  <c r="M945" i="1"/>
  <c r="N945" i="1"/>
  <c r="O945" i="1"/>
  <c r="S945" i="1"/>
  <c r="T945" i="1"/>
  <c r="U945" i="1"/>
  <c r="W945" i="1"/>
  <c r="Y945" i="1"/>
  <c r="Z945" i="1"/>
  <c r="AA945" i="1"/>
  <c r="AC945" i="1"/>
  <c r="AE945" i="1"/>
  <c r="AF945" i="1"/>
  <c r="AG945" i="1"/>
  <c r="AK945" i="1"/>
  <c r="AS945" i="1"/>
  <c r="AT945" i="1"/>
  <c r="B946" i="1"/>
  <c r="C946" i="1"/>
  <c r="D946" i="1"/>
  <c r="E946" i="1"/>
  <c r="F946" i="1"/>
  <c r="H946" i="1"/>
  <c r="I946" i="1"/>
  <c r="J946" i="1"/>
  <c r="K946" i="1"/>
  <c r="L946" i="1"/>
  <c r="M946" i="1"/>
  <c r="N946" i="1"/>
  <c r="O946" i="1"/>
  <c r="W946" i="1"/>
  <c r="Y946" i="1"/>
  <c r="Z946" i="1"/>
  <c r="AA946" i="1"/>
  <c r="AC946" i="1"/>
  <c r="AE946" i="1"/>
  <c r="AF946" i="1"/>
  <c r="AG946" i="1"/>
  <c r="AK946" i="1"/>
  <c r="AS946" i="1"/>
  <c r="AT946" i="1"/>
  <c r="B947" i="1"/>
  <c r="C947" i="1"/>
  <c r="D947" i="1"/>
  <c r="E947" i="1"/>
  <c r="F947" i="1"/>
  <c r="G947" i="1"/>
  <c r="H947" i="1"/>
  <c r="I947" i="1"/>
  <c r="J947" i="1"/>
  <c r="K947" i="1"/>
  <c r="L947" i="1"/>
  <c r="M947" i="1"/>
  <c r="N947" i="1"/>
  <c r="O947" i="1"/>
  <c r="W947" i="1"/>
  <c r="Y947" i="1"/>
  <c r="Z947" i="1"/>
  <c r="AA947" i="1"/>
  <c r="AC947" i="1"/>
  <c r="AE947" i="1"/>
  <c r="AF947" i="1"/>
  <c r="AG947" i="1"/>
  <c r="AK947" i="1"/>
  <c r="AS947" i="1"/>
  <c r="AT947" i="1"/>
  <c r="B948" i="1"/>
  <c r="C948" i="1"/>
  <c r="D948" i="1"/>
  <c r="E948" i="1"/>
  <c r="F948" i="1"/>
  <c r="H948" i="1"/>
  <c r="I948" i="1"/>
  <c r="J948" i="1"/>
  <c r="K948" i="1"/>
  <c r="L948" i="1"/>
  <c r="M948" i="1"/>
  <c r="N948" i="1"/>
  <c r="O948" i="1"/>
  <c r="W948" i="1"/>
  <c r="Y948" i="1"/>
  <c r="Z948" i="1"/>
  <c r="AA948" i="1"/>
  <c r="AC948" i="1"/>
  <c r="AE948" i="1"/>
  <c r="AF948" i="1"/>
  <c r="AG948" i="1"/>
  <c r="AK948" i="1"/>
  <c r="AS948" i="1"/>
  <c r="AT948" i="1"/>
  <c r="B949" i="1"/>
  <c r="C949" i="1"/>
  <c r="D949" i="1"/>
  <c r="E949" i="1"/>
  <c r="F949" i="1"/>
  <c r="H949" i="1"/>
  <c r="I949" i="1"/>
  <c r="J949" i="1"/>
  <c r="K949" i="1"/>
  <c r="L949" i="1"/>
  <c r="M949" i="1"/>
  <c r="N949" i="1"/>
  <c r="O949" i="1"/>
  <c r="W949" i="1"/>
  <c r="Y949" i="1"/>
  <c r="Z949" i="1"/>
  <c r="AA949" i="1"/>
  <c r="AC949" i="1"/>
  <c r="AE949" i="1"/>
  <c r="AF949" i="1"/>
  <c r="AG949" i="1"/>
  <c r="AK949" i="1"/>
  <c r="AS949" i="1"/>
  <c r="AT949" i="1"/>
  <c r="B950" i="1"/>
  <c r="C950" i="1"/>
  <c r="D950" i="1"/>
  <c r="E950" i="1"/>
  <c r="F950" i="1"/>
  <c r="G950" i="1"/>
  <c r="H950" i="1"/>
  <c r="I950" i="1"/>
  <c r="J950" i="1"/>
  <c r="K950" i="1"/>
  <c r="L950" i="1"/>
  <c r="M950" i="1"/>
  <c r="N950" i="1"/>
  <c r="O950" i="1"/>
  <c r="W950" i="1"/>
  <c r="Y950" i="1"/>
  <c r="Z950" i="1"/>
  <c r="AA950" i="1"/>
  <c r="AC950" i="1"/>
  <c r="AE950" i="1"/>
  <c r="AF950" i="1"/>
  <c r="AG950" i="1"/>
  <c r="AK950" i="1"/>
  <c r="AS950" i="1"/>
  <c r="AT950" i="1"/>
  <c r="B951" i="1"/>
  <c r="C951" i="1"/>
  <c r="D951" i="1"/>
  <c r="E951" i="1"/>
  <c r="F951" i="1"/>
  <c r="H951" i="1"/>
  <c r="I951" i="1"/>
  <c r="J951" i="1"/>
  <c r="K951" i="1"/>
  <c r="L951" i="1"/>
  <c r="M951" i="1"/>
  <c r="N951" i="1"/>
  <c r="O951" i="1"/>
  <c r="W951" i="1"/>
  <c r="Y951" i="1"/>
  <c r="Z951" i="1"/>
  <c r="AA951" i="1"/>
  <c r="AC951" i="1"/>
  <c r="AE951" i="1"/>
  <c r="AF951" i="1"/>
  <c r="AG951" i="1"/>
  <c r="AK951" i="1"/>
  <c r="AT951" i="1"/>
  <c r="B952" i="1"/>
  <c r="C952" i="1"/>
  <c r="D952" i="1"/>
  <c r="E952" i="1"/>
  <c r="F952" i="1"/>
  <c r="H952" i="1"/>
  <c r="I952" i="1"/>
  <c r="J952" i="1"/>
  <c r="K952" i="1"/>
  <c r="L952" i="1"/>
  <c r="M952" i="1"/>
  <c r="N952" i="1"/>
  <c r="O952" i="1"/>
  <c r="S952" i="1"/>
  <c r="T952" i="1"/>
  <c r="U952" i="1"/>
  <c r="W952" i="1"/>
  <c r="Y952" i="1"/>
  <c r="Z952" i="1"/>
  <c r="AA952" i="1"/>
  <c r="AC952" i="1"/>
  <c r="AE952" i="1"/>
  <c r="AF952" i="1"/>
  <c r="AG952" i="1"/>
  <c r="AK952" i="1"/>
  <c r="AS952" i="1"/>
  <c r="AT952" i="1"/>
  <c r="B953" i="1"/>
  <c r="C953" i="1"/>
  <c r="D953" i="1"/>
  <c r="E953" i="1"/>
  <c r="F953" i="1"/>
  <c r="H953" i="1"/>
  <c r="I953" i="1"/>
  <c r="J953" i="1"/>
  <c r="K953" i="1"/>
  <c r="L953" i="1"/>
  <c r="M953" i="1"/>
  <c r="N953" i="1"/>
  <c r="O953" i="1"/>
  <c r="W953" i="1"/>
  <c r="Y953" i="1"/>
  <c r="Z953" i="1"/>
  <c r="AA953" i="1"/>
  <c r="AC953" i="1"/>
  <c r="AE953" i="1"/>
  <c r="AF953" i="1"/>
  <c r="AG953" i="1"/>
  <c r="AK953" i="1"/>
  <c r="AS953" i="1"/>
  <c r="AT953" i="1"/>
  <c r="B954" i="1"/>
  <c r="C954" i="1"/>
  <c r="D954" i="1"/>
  <c r="E954" i="1"/>
  <c r="F954" i="1"/>
  <c r="H954" i="1"/>
  <c r="I954" i="1"/>
  <c r="J954" i="1"/>
  <c r="K954" i="1"/>
  <c r="L954" i="1"/>
  <c r="M954" i="1"/>
  <c r="N954" i="1"/>
  <c r="O954" i="1"/>
  <c r="W954" i="1"/>
  <c r="Y954" i="1"/>
  <c r="Z954" i="1"/>
  <c r="AA954" i="1"/>
  <c r="AC954" i="1"/>
  <c r="AE954" i="1"/>
  <c r="AF954" i="1"/>
  <c r="AG954" i="1"/>
  <c r="AK954" i="1"/>
  <c r="AS954" i="1"/>
  <c r="AT954" i="1"/>
  <c r="B955" i="1"/>
  <c r="C955" i="1"/>
  <c r="D955" i="1"/>
  <c r="E955" i="1"/>
  <c r="F955" i="1"/>
  <c r="G955" i="1"/>
  <c r="H955" i="1"/>
  <c r="I955" i="1"/>
  <c r="J955" i="1"/>
  <c r="K955" i="1"/>
  <c r="L955" i="1"/>
  <c r="M955" i="1"/>
  <c r="N955" i="1"/>
  <c r="O955" i="1"/>
  <c r="W955" i="1"/>
  <c r="Y955" i="1"/>
  <c r="Z955" i="1"/>
  <c r="AA955" i="1"/>
  <c r="AC955" i="1"/>
  <c r="AE955" i="1"/>
  <c r="AF955" i="1"/>
  <c r="AG955" i="1"/>
  <c r="AK955" i="1"/>
  <c r="AS955" i="1"/>
  <c r="AT955" i="1"/>
  <c r="B956" i="1"/>
  <c r="C956" i="1"/>
  <c r="D956" i="1"/>
  <c r="E956" i="1"/>
  <c r="F956" i="1"/>
  <c r="H956" i="1"/>
  <c r="I956" i="1"/>
  <c r="J956" i="1"/>
  <c r="K956" i="1"/>
  <c r="L956" i="1"/>
  <c r="M956" i="1"/>
  <c r="N956" i="1"/>
  <c r="O956" i="1"/>
  <c r="W956" i="1"/>
  <c r="Y956" i="1"/>
  <c r="Z956" i="1"/>
  <c r="AA956" i="1"/>
  <c r="AC956" i="1"/>
  <c r="AE956" i="1"/>
  <c r="AF956" i="1"/>
  <c r="AG956" i="1"/>
  <c r="AK956" i="1"/>
  <c r="AS956" i="1"/>
  <c r="AT956" i="1"/>
  <c r="B957" i="1"/>
  <c r="C957" i="1"/>
  <c r="D957" i="1"/>
  <c r="E957" i="1"/>
  <c r="F957" i="1"/>
  <c r="G957" i="1"/>
  <c r="H957" i="1"/>
  <c r="I957" i="1"/>
  <c r="J957" i="1"/>
  <c r="K957" i="1"/>
  <c r="L957" i="1"/>
  <c r="M957" i="1"/>
  <c r="N957" i="1"/>
  <c r="O957" i="1"/>
  <c r="W957" i="1"/>
  <c r="Y957" i="1"/>
  <c r="Z957" i="1"/>
  <c r="AA957" i="1"/>
  <c r="AC957" i="1"/>
  <c r="AE957" i="1"/>
  <c r="AF957" i="1"/>
  <c r="AG957" i="1"/>
  <c r="AK957" i="1"/>
  <c r="AS957" i="1"/>
  <c r="AT957" i="1"/>
  <c r="B958" i="1"/>
  <c r="C958" i="1"/>
  <c r="D958" i="1"/>
  <c r="E958" i="1"/>
  <c r="F958" i="1"/>
  <c r="G958" i="1"/>
  <c r="H958" i="1"/>
  <c r="I958" i="1"/>
  <c r="J958" i="1"/>
  <c r="K958" i="1"/>
  <c r="L958" i="1"/>
  <c r="M958" i="1"/>
  <c r="N958" i="1"/>
  <c r="O958" i="1"/>
  <c r="W958" i="1"/>
  <c r="Y958" i="1"/>
  <c r="Z958" i="1"/>
  <c r="AA958" i="1"/>
  <c r="AC958" i="1"/>
  <c r="AE958" i="1"/>
  <c r="AF958" i="1"/>
  <c r="AG958" i="1"/>
  <c r="AK958" i="1"/>
  <c r="AS958" i="1"/>
  <c r="AT958" i="1"/>
  <c r="B959" i="1"/>
  <c r="C959" i="1"/>
  <c r="D959" i="1"/>
  <c r="E959" i="1"/>
  <c r="F959" i="1"/>
  <c r="H959" i="1"/>
  <c r="I959" i="1"/>
  <c r="J959" i="1"/>
  <c r="K959" i="1"/>
  <c r="L959" i="1"/>
  <c r="M959" i="1"/>
  <c r="N959" i="1"/>
  <c r="O959" i="1"/>
  <c r="W959" i="1"/>
  <c r="Y959" i="1"/>
  <c r="Z959" i="1"/>
  <c r="AA959" i="1"/>
  <c r="AC959" i="1"/>
  <c r="AE959" i="1"/>
  <c r="AF959" i="1"/>
  <c r="AG959" i="1"/>
  <c r="AK959" i="1"/>
  <c r="AS959" i="1"/>
  <c r="AT959" i="1"/>
  <c r="B960" i="1"/>
  <c r="C960" i="1"/>
  <c r="D960" i="1"/>
  <c r="E960" i="1"/>
  <c r="F960" i="1"/>
  <c r="H960" i="1"/>
  <c r="I960" i="1"/>
  <c r="J960" i="1"/>
  <c r="K960" i="1"/>
  <c r="L960" i="1"/>
  <c r="M960" i="1"/>
  <c r="N960" i="1"/>
  <c r="O960" i="1"/>
  <c r="W960" i="1"/>
  <c r="Y960" i="1"/>
  <c r="Z960" i="1"/>
  <c r="AA960" i="1"/>
  <c r="AC960" i="1"/>
  <c r="AE960" i="1"/>
  <c r="AF960" i="1"/>
  <c r="AG960" i="1"/>
  <c r="AK960" i="1"/>
  <c r="AS960" i="1"/>
  <c r="AT960" i="1"/>
  <c r="B961" i="1"/>
  <c r="C961" i="1"/>
  <c r="D961" i="1"/>
  <c r="E961" i="1"/>
  <c r="F961" i="1"/>
  <c r="G961" i="1"/>
  <c r="H961" i="1"/>
  <c r="I961" i="1"/>
  <c r="J961" i="1"/>
  <c r="K961" i="1"/>
  <c r="L961" i="1"/>
  <c r="M961" i="1"/>
  <c r="N961" i="1"/>
  <c r="O961" i="1"/>
  <c r="W961" i="1"/>
  <c r="Y961" i="1"/>
  <c r="Z961" i="1"/>
  <c r="AA961" i="1"/>
  <c r="AC961" i="1"/>
  <c r="AE961" i="1"/>
  <c r="AF961" i="1"/>
  <c r="AG961" i="1"/>
  <c r="AK961" i="1"/>
  <c r="AS961" i="1"/>
  <c r="AT961" i="1"/>
  <c r="B962" i="1"/>
  <c r="C962" i="1"/>
  <c r="D962" i="1"/>
  <c r="E962" i="1"/>
  <c r="F962" i="1"/>
  <c r="H962" i="1"/>
  <c r="I962" i="1"/>
  <c r="J962" i="1"/>
  <c r="K962" i="1"/>
  <c r="L962" i="1"/>
  <c r="M962" i="1"/>
  <c r="N962" i="1"/>
  <c r="O962" i="1"/>
  <c r="W962" i="1"/>
  <c r="Y962" i="1"/>
  <c r="Z962" i="1"/>
  <c r="AA962" i="1"/>
  <c r="AC962" i="1"/>
  <c r="AE962" i="1"/>
  <c r="AF962" i="1"/>
  <c r="AG962" i="1"/>
  <c r="AK962" i="1"/>
  <c r="AS962" i="1"/>
  <c r="AT962" i="1"/>
  <c r="B963" i="1"/>
  <c r="C963" i="1"/>
  <c r="D963" i="1"/>
  <c r="E963" i="1"/>
  <c r="F963" i="1"/>
  <c r="H963" i="1"/>
  <c r="I963" i="1"/>
  <c r="J963" i="1"/>
  <c r="K963" i="1"/>
  <c r="L963" i="1"/>
  <c r="M963" i="1"/>
  <c r="N963" i="1"/>
  <c r="O963" i="1"/>
  <c r="W963" i="1"/>
  <c r="Y963" i="1"/>
  <c r="Z963" i="1"/>
  <c r="AA963" i="1"/>
  <c r="AC963" i="1"/>
  <c r="AE963" i="1"/>
  <c r="AF963" i="1"/>
  <c r="AG963" i="1"/>
  <c r="AK963" i="1"/>
  <c r="AS963" i="1"/>
  <c r="AT963" i="1"/>
  <c r="B964" i="1"/>
  <c r="C964" i="1"/>
  <c r="D964" i="1"/>
  <c r="E964" i="1"/>
  <c r="F964" i="1"/>
  <c r="H964" i="1"/>
  <c r="I964" i="1"/>
  <c r="J964" i="1"/>
  <c r="K964" i="1"/>
  <c r="L964" i="1"/>
  <c r="M964" i="1"/>
  <c r="N964" i="1"/>
  <c r="O964" i="1"/>
  <c r="W964" i="1"/>
  <c r="Y964" i="1"/>
  <c r="Z964" i="1"/>
  <c r="AA964" i="1"/>
  <c r="AC964" i="1"/>
  <c r="AE964" i="1"/>
  <c r="AF964" i="1"/>
  <c r="AG964" i="1"/>
  <c r="AK964" i="1"/>
  <c r="AS964" i="1"/>
  <c r="AT964" i="1"/>
  <c r="B965" i="1"/>
  <c r="C965" i="1"/>
  <c r="D965" i="1"/>
  <c r="E965" i="1"/>
  <c r="F965" i="1"/>
  <c r="G965" i="1"/>
  <c r="H965" i="1"/>
  <c r="I965" i="1"/>
  <c r="J965" i="1"/>
  <c r="K965" i="1"/>
  <c r="L965" i="1"/>
  <c r="M965" i="1"/>
  <c r="N965" i="1"/>
  <c r="O965" i="1"/>
  <c r="W965" i="1"/>
  <c r="Y965" i="1"/>
  <c r="Z965" i="1"/>
  <c r="AA965" i="1"/>
  <c r="AC965" i="1"/>
  <c r="AE965" i="1"/>
  <c r="AF965" i="1"/>
  <c r="AG965" i="1"/>
  <c r="AK965" i="1"/>
  <c r="AS965" i="1"/>
  <c r="AT965" i="1"/>
  <c r="B966" i="1"/>
  <c r="C966" i="1"/>
  <c r="D966" i="1"/>
  <c r="E966" i="1"/>
  <c r="F966" i="1"/>
  <c r="G966" i="1"/>
  <c r="H966" i="1"/>
  <c r="I966" i="1"/>
  <c r="J966" i="1"/>
  <c r="K966" i="1"/>
  <c r="L966" i="1"/>
  <c r="M966" i="1"/>
  <c r="N966" i="1"/>
  <c r="O966" i="1"/>
  <c r="W966" i="1"/>
  <c r="Y966" i="1"/>
  <c r="Z966" i="1"/>
  <c r="AA966" i="1"/>
  <c r="AC966" i="1"/>
  <c r="AE966" i="1"/>
  <c r="AF966" i="1"/>
  <c r="AG966" i="1"/>
  <c r="AK966" i="1"/>
  <c r="AS966" i="1"/>
  <c r="AT966" i="1"/>
  <c r="B967" i="1"/>
  <c r="C967" i="1"/>
  <c r="D967" i="1"/>
  <c r="E967" i="1"/>
  <c r="F967" i="1"/>
  <c r="G967" i="1"/>
  <c r="H967" i="1"/>
  <c r="I967" i="1"/>
  <c r="J967" i="1"/>
  <c r="K967" i="1"/>
  <c r="L967" i="1"/>
  <c r="M967" i="1"/>
  <c r="N967" i="1"/>
  <c r="O967" i="1"/>
  <c r="W967" i="1"/>
  <c r="Y967" i="1"/>
  <c r="Z967" i="1"/>
  <c r="AA967" i="1"/>
  <c r="AC967" i="1"/>
  <c r="AE967" i="1"/>
  <c r="AF967" i="1"/>
  <c r="AG967" i="1"/>
  <c r="AK967" i="1"/>
  <c r="AS967" i="1"/>
  <c r="AT967" i="1"/>
  <c r="B968" i="1"/>
  <c r="C968" i="1"/>
  <c r="D968" i="1"/>
  <c r="E968" i="1"/>
  <c r="F968" i="1"/>
  <c r="G968" i="1"/>
  <c r="H968" i="1"/>
  <c r="I968" i="1"/>
  <c r="J968" i="1"/>
  <c r="K968" i="1"/>
  <c r="L968" i="1"/>
  <c r="M968" i="1"/>
  <c r="N968" i="1"/>
  <c r="O968" i="1"/>
  <c r="S968" i="1"/>
  <c r="U968" i="1"/>
  <c r="W968" i="1"/>
  <c r="Y968" i="1"/>
  <c r="Z968" i="1"/>
  <c r="AA968" i="1"/>
  <c r="AC968" i="1"/>
  <c r="AE968" i="1"/>
  <c r="AF968" i="1"/>
  <c r="AG968" i="1"/>
  <c r="AK968" i="1"/>
  <c r="AS968" i="1"/>
  <c r="AT968" i="1"/>
  <c r="B969" i="1"/>
  <c r="C969" i="1"/>
  <c r="D969" i="1"/>
  <c r="E969" i="1"/>
  <c r="F969" i="1"/>
  <c r="H969" i="1"/>
  <c r="I969" i="1"/>
  <c r="J969" i="1"/>
  <c r="K969" i="1"/>
  <c r="L969" i="1"/>
  <c r="M969" i="1"/>
  <c r="N969" i="1"/>
  <c r="O969" i="1"/>
  <c r="W969" i="1"/>
  <c r="Y969" i="1"/>
  <c r="Z969" i="1"/>
  <c r="AA969" i="1"/>
  <c r="AC969" i="1"/>
  <c r="AE969" i="1"/>
  <c r="AF969" i="1"/>
  <c r="AG969" i="1"/>
  <c r="AK969" i="1"/>
  <c r="AS969" i="1"/>
  <c r="AT969" i="1"/>
  <c r="B970" i="1"/>
  <c r="C970" i="1"/>
  <c r="D970" i="1"/>
  <c r="E970" i="1"/>
  <c r="F970" i="1"/>
  <c r="H970" i="1"/>
  <c r="I970" i="1"/>
  <c r="J970" i="1"/>
  <c r="K970" i="1"/>
  <c r="L970" i="1"/>
  <c r="M970" i="1"/>
  <c r="N970" i="1"/>
  <c r="O970" i="1"/>
  <c r="W970" i="1"/>
  <c r="Y970" i="1"/>
  <c r="Z970" i="1"/>
  <c r="AA970" i="1"/>
  <c r="AC970" i="1"/>
  <c r="AE970" i="1"/>
  <c r="AF970" i="1"/>
  <c r="AG970" i="1"/>
  <c r="AK970" i="1"/>
  <c r="AS970" i="1"/>
  <c r="AT970" i="1"/>
  <c r="B971" i="1"/>
  <c r="C971" i="1"/>
  <c r="D971" i="1"/>
  <c r="E971" i="1"/>
  <c r="F971" i="1"/>
  <c r="H971" i="1"/>
  <c r="I971" i="1"/>
  <c r="J971" i="1"/>
  <c r="K971" i="1"/>
  <c r="L971" i="1"/>
  <c r="M971" i="1"/>
  <c r="N971" i="1"/>
  <c r="O971" i="1"/>
  <c r="W971" i="1"/>
  <c r="Y971" i="1"/>
  <c r="Z971" i="1"/>
  <c r="AA971" i="1"/>
  <c r="AC971" i="1"/>
  <c r="AE971" i="1"/>
  <c r="AF971" i="1"/>
  <c r="AG971" i="1"/>
  <c r="AK971" i="1"/>
  <c r="AS971" i="1"/>
  <c r="AT971" i="1"/>
  <c r="B972" i="1"/>
  <c r="C972" i="1"/>
  <c r="D972" i="1"/>
  <c r="E972" i="1"/>
  <c r="F972" i="1"/>
  <c r="H972" i="1"/>
  <c r="I972" i="1"/>
  <c r="J972" i="1"/>
  <c r="K972" i="1"/>
  <c r="L972" i="1"/>
  <c r="M972" i="1"/>
  <c r="N972" i="1"/>
  <c r="O972" i="1"/>
  <c r="W972" i="1"/>
  <c r="Y972" i="1"/>
  <c r="Z972" i="1"/>
  <c r="AA972" i="1"/>
  <c r="AC972" i="1"/>
  <c r="AE972" i="1"/>
  <c r="AF972" i="1"/>
  <c r="AG972" i="1"/>
  <c r="AK972" i="1"/>
  <c r="AS972" i="1"/>
  <c r="AT972" i="1"/>
  <c r="B973" i="1"/>
  <c r="C973" i="1"/>
  <c r="D973" i="1"/>
  <c r="E973" i="1"/>
  <c r="F973" i="1"/>
  <c r="H973" i="1"/>
  <c r="I973" i="1"/>
  <c r="J973" i="1"/>
  <c r="K973" i="1"/>
  <c r="L973" i="1"/>
  <c r="M973" i="1"/>
  <c r="N973" i="1"/>
  <c r="O973" i="1"/>
  <c r="W973" i="1"/>
  <c r="Y973" i="1"/>
  <c r="Z973" i="1"/>
  <c r="AA973" i="1"/>
  <c r="AC973" i="1"/>
  <c r="AE973" i="1"/>
  <c r="AF973" i="1"/>
  <c r="AG973" i="1"/>
  <c r="AK973" i="1"/>
  <c r="AS973" i="1"/>
  <c r="AT973" i="1"/>
  <c r="B974" i="1"/>
  <c r="C974" i="1"/>
  <c r="D974" i="1"/>
  <c r="E974" i="1"/>
  <c r="F974" i="1"/>
  <c r="H974" i="1"/>
  <c r="I974" i="1"/>
  <c r="J974" i="1"/>
  <c r="K974" i="1"/>
  <c r="L974" i="1"/>
  <c r="M974" i="1"/>
  <c r="N974" i="1"/>
  <c r="O974" i="1"/>
  <c r="W974" i="1"/>
  <c r="Y974" i="1"/>
  <c r="Z974" i="1"/>
  <c r="AA974" i="1"/>
  <c r="AC974" i="1"/>
  <c r="AE974" i="1"/>
  <c r="AF974" i="1"/>
  <c r="AG974" i="1"/>
  <c r="AK974" i="1"/>
  <c r="AS974" i="1"/>
  <c r="AT974" i="1"/>
  <c r="B975" i="1"/>
  <c r="C975" i="1"/>
  <c r="D975" i="1"/>
  <c r="E975" i="1"/>
  <c r="F975" i="1"/>
  <c r="G975" i="1"/>
  <c r="H975" i="1"/>
  <c r="I975" i="1"/>
  <c r="J975" i="1"/>
  <c r="K975" i="1"/>
  <c r="L975" i="1"/>
  <c r="M975" i="1"/>
  <c r="N975" i="1"/>
  <c r="O975" i="1"/>
  <c r="W975" i="1"/>
  <c r="Y975" i="1"/>
  <c r="Z975" i="1"/>
  <c r="AA975" i="1"/>
  <c r="AC975" i="1"/>
  <c r="AE975" i="1"/>
  <c r="AF975" i="1"/>
  <c r="AG975" i="1"/>
  <c r="AK975" i="1"/>
  <c r="AS975" i="1"/>
  <c r="AT975" i="1"/>
</calcChain>
</file>

<file path=xl/sharedStrings.xml><?xml version="1.0" encoding="utf-8"?>
<sst xmlns="http://schemas.openxmlformats.org/spreadsheetml/2006/main" count="3664" uniqueCount="69">
  <si>
    <t>亞洲大學圖書館</t>
  </si>
  <si>
    <t>登錄簿</t>
  </si>
  <si>
    <t>館員名稱</t>
  </si>
  <si>
    <t>CLH620</t>
  </si>
  <si>
    <t>館藏地</t>
  </si>
  <si>
    <t>資料類型</t>
  </si>
  <si>
    <t>登收日期起迄</t>
  </si>
  <si>
    <t>~</t>
  </si>
  <si>
    <t>分類法</t>
  </si>
  <si>
    <t>建立日期</t>
  </si>
  <si>
    <t>分類號 起始以</t>
  </si>
  <si>
    <t>登錄號</t>
  </si>
  <si>
    <t>W00002037</t>
  </si>
  <si>
    <t>W00003000</t>
  </si>
  <si>
    <t>語言別</t>
  </si>
  <si>
    <t>第一排序</t>
  </si>
  <si>
    <t>機讀格式</t>
  </si>
  <si>
    <t xml:space="preserve">C_MARC ,UNIMARC ,MARC21 </t>
  </si>
  <si>
    <t>第二排序</t>
  </si>
  <si>
    <t>書名</t>
  </si>
  <si>
    <t>序號</t>
  </si>
  <si>
    <t>系統號</t>
  </si>
  <si>
    <t>作者</t>
  </si>
  <si>
    <t>出版者</t>
  </si>
  <si>
    <t>版本項</t>
  </si>
  <si>
    <t>索書號</t>
  </si>
  <si>
    <t>ISBN/ISSN</t>
  </si>
  <si>
    <t>館藏價格</t>
  </si>
  <si>
    <t>到館日期</t>
  </si>
  <si>
    <t>館藏建立日期</t>
  </si>
  <si>
    <t>館藏出版年</t>
  </si>
  <si>
    <t>特藏</t>
  </si>
  <si>
    <t>館員備註</t>
  </si>
  <si>
    <t>採購備註</t>
  </si>
  <si>
    <t>數量(面數，冊數或其他)</t>
  </si>
  <si>
    <t>插圖及其他稽核細節</t>
  </si>
  <si>
    <t>高廣、尺寸</t>
  </si>
  <si>
    <t>附件</t>
  </si>
  <si>
    <t>分類法版本</t>
  </si>
  <si>
    <t>分類號</t>
  </si>
  <si>
    <t>書目建立日期</t>
  </si>
  <si>
    <t>書目建立人員帳號</t>
  </si>
  <si>
    <t>作者號規則</t>
  </si>
  <si>
    <t>作者號</t>
  </si>
  <si>
    <t>卷號</t>
  </si>
  <si>
    <t>複本號</t>
  </si>
  <si>
    <t>館藏流通類別</t>
  </si>
  <si>
    <t>館藏狀態</t>
  </si>
  <si>
    <t>館藏附件</t>
  </si>
  <si>
    <t>館藏於公共目錄顯示</t>
  </si>
  <si>
    <t>館藏電子資源連結</t>
  </si>
  <si>
    <t>使用類型</t>
  </si>
  <si>
    <t>備註欄</t>
  </si>
  <si>
    <t>流通註記</t>
  </si>
  <si>
    <t>期刊備註</t>
  </si>
  <si>
    <t>書目於公共目錄顯示</t>
  </si>
  <si>
    <t>期刊架位號</t>
  </si>
  <si>
    <t>最後盤點日期</t>
  </si>
  <si>
    <t>登收日期</t>
  </si>
  <si>
    <t>書目出版年</t>
  </si>
  <si>
    <t>館藏建立人員帳號</t>
  </si>
  <si>
    <t>書目價格</t>
  </si>
  <si>
    <t>電子資源連結</t>
  </si>
  <si>
    <t>公開顯示之附註</t>
  </si>
  <si>
    <t>一般藏書</t>
  </si>
  <si>
    <t>是</t>
  </si>
  <si>
    <t>否</t>
  </si>
  <si>
    <t>=(""Get weird!" :101 innovative ways to make your company a great place to work /")</t>
  </si>
  <si>
    <t>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</si>
</sst>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0" xfId="0" applyBorder="1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94"/>
  <sheetViews>
    <sheetView workbookViewId="0">
      <selection activeCell="E18" sqref="E18"/>
    </sheetView>
  </sheetViews>
  <sheetFormatPr defaultRowHeight="16.5" x14ac:dyDescent="0.25"/>
  <cols>
    <col min="1" max="1" width="9" style="1"/>
    <col min="2" max="2" width="11.375" style="1" bestFit="1" customWidth="1"/>
    <col min="3" max="3" width="28.625" style="1" customWidth="1"/>
    <col min="4" max="4" width="13.375" style="1" customWidth="1"/>
    <col min="5" max="5" width="28" style="1" bestFit="1" customWidth="1"/>
    <col min="6" max="10" width="9" style="1"/>
  </cols>
  <sheetData>
    <row r="1" spans="2:10" x14ac:dyDescent="0.25">
      <c r="B1" s="1" t="s">
        <v>11</v>
      </c>
      <c r="C1" s="1" t="s">
        <v>19</v>
      </c>
      <c r="D1" s="1" t="s">
        <v>4</v>
      </c>
      <c r="E1" s="1" t="s">
        <v>25</v>
      </c>
      <c r="F1" s="1" t="s">
        <v>32</v>
      </c>
      <c r="G1" s="1" t="s">
        <v>34</v>
      </c>
      <c r="H1" s="1" t="s">
        <v>35</v>
      </c>
      <c r="I1" s="1" t="s">
        <v>36</v>
      </c>
      <c r="J1" s="1" t="s">
        <v>37</v>
      </c>
    </row>
    <row r="2" spans="2:10" x14ac:dyDescent="0.25">
      <c r="B2" s="1" t="str">
        <f>("W00002552")</f>
        <v>W00002552</v>
      </c>
      <c r="C2" s="1" t="str">
        <f>("Museum mission statements :building a distinct identity /")</f>
        <v>Museum mission statements :building a distinct identity /</v>
      </c>
      <c r="D2" s="1" t="str">
        <f>("4F西文書庫 4F Western Language Books")</f>
        <v>4F西文書庫 4F Western Language Books</v>
      </c>
      <c r="E2" s="1" t="str">
        <f>("AM11 A545 1998")</f>
        <v>AM11 A545 1998</v>
      </c>
    </row>
    <row r="3" spans="2:10" x14ac:dyDescent="0.25">
      <c r="B3" s="1" t="str">
        <f>("W00003089")</f>
        <v>W00003089</v>
      </c>
      <c r="C3" s="1" t="str">
        <f>("Museum memories :history, technology, art /")</f>
        <v>Museum memories :history, technology, art /</v>
      </c>
      <c r="D3" s="1" t="str">
        <f>("罕用書庫1-洽櫃台填單 Upon-Request Collection1 fil")</f>
        <v>罕用書庫1-洽櫃台填單 Upon-Request Collection1 fil</v>
      </c>
      <c r="E3" s="1" t="str">
        <f>("AM7 M247 1999")</f>
        <v>AM7 M247 1999</v>
      </c>
      <c r="G3" s="1" t="str">
        <f>("xii, 325 p. :")</f>
        <v>xii, 325 p. :</v>
      </c>
      <c r="H3" s="1" t="str">
        <f>("ill. ;")</f>
        <v>ill. ;</v>
      </c>
      <c r="I3" s="1" t="str">
        <f>("22 cm.")</f>
        <v>22 cm.</v>
      </c>
    </row>
    <row r="4" spans="2:10" x14ac:dyDescent="0.25">
      <c r="B4" s="1" t="str">
        <f>("W00002334")</f>
        <v>W00002334</v>
      </c>
      <c r="C4" s="1" t="str">
        <f>("The elements of reasoning /")</f>
        <v>The elements of reasoning /</v>
      </c>
      <c r="D4" s="1" t="str">
        <f>("4F西文書庫 4F Western Language Books")</f>
        <v>4F西文書庫 4F Western Language Books</v>
      </c>
      <c r="E4" s="1" t="str">
        <f>("BC177 C767 1997")</f>
        <v>BC177 C767 1997</v>
      </c>
    </row>
    <row r="5" spans="2:10" x14ac:dyDescent="0.25">
      <c r="B5" s="1" t="str">
        <f>("W00002191")</f>
        <v>W00002191</v>
      </c>
      <c r="C5" s="1" t="str">
        <f>("The art of possibility /")</f>
        <v>The art of possibility /</v>
      </c>
      <c r="D5" s="1" t="str">
        <f>("4F西文書庫 4F Western Language Books")</f>
        <v>4F西文書庫 4F Western Language Books</v>
      </c>
      <c r="E5" s="1" t="str">
        <f>("BC199.P7 Z27 2000")</f>
        <v>BC199.P7 Z27 2000</v>
      </c>
    </row>
    <row r="6" spans="2:10" x14ac:dyDescent="0.25">
      <c r="B6" s="1" t="str">
        <f>("W00003227")</f>
        <v>W00003227</v>
      </c>
      <c r="C6" s="1" t="str">
        <f>("Power through people and principles not puppets and prejudices /")</f>
        <v>Power through people and principles not puppets and prejudices /</v>
      </c>
      <c r="D6" s="1" t="str">
        <f>("4F西文書庫 4F Western Language Books")</f>
        <v>4F西文書庫 4F Western Language Books</v>
      </c>
      <c r="E6" s="1" t="str">
        <f>("BD438 K17 2000")</f>
        <v>BD438 K17 2000</v>
      </c>
    </row>
    <row r="7" spans="2:10" x14ac:dyDescent="0.25">
      <c r="B7" s="1" t="str">
        <f>("W00002305")</f>
        <v>W00002305</v>
      </c>
      <c r="C7" s="1" t="str">
        <f>("Essentials of psychology /")</f>
        <v>Essentials of psychology /</v>
      </c>
      <c r="D7" s="1" t="str">
        <f>("4F西文書庫 4F Western Language Books")</f>
        <v>4F西文書庫 4F Western Language Books</v>
      </c>
      <c r="E7" s="1" t="str">
        <f>("BF12 R234 1997")</f>
        <v>BF12 R234 1997</v>
      </c>
    </row>
    <row r="8" spans="2:10" x14ac:dyDescent="0.25">
      <c r="B8" s="1" t="str">
        <f>("W00002158")</f>
        <v>W00002158</v>
      </c>
      <c r="C8" s="1" t="str">
        <f>("Psychology :  an integrated approach / ")</f>
        <v xml:space="preserve">Psychology :  an integrated approach / </v>
      </c>
      <c r="D8" s="1" t="str">
        <f>("罕用書庫1-洽櫃台填單 Upon-Request Collection1 fil")</f>
        <v>罕用書庫1-洽櫃台填單 Upon-Request Collection1 fil</v>
      </c>
      <c r="E8" s="1" t="str">
        <f>("BF121 E97 1998")</f>
        <v>BF121 E97 1998</v>
      </c>
      <c r="G8" s="1" t="str">
        <f>("829p.: ")</f>
        <v xml:space="preserve">829p.: </v>
      </c>
      <c r="H8" s="1" t="str">
        <f>("ill. ; ")</f>
        <v xml:space="preserve">ill. ; </v>
      </c>
      <c r="I8" s="1" t="str">
        <f>("25cm.")</f>
        <v>25cm.</v>
      </c>
    </row>
    <row r="9" spans="2:10" x14ac:dyDescent="0.25">
      <c r="B9" s="1" t="str">
        <f>("W00002295")</f>
        <v>W00002295</v>
      </c>
      <c r="C9" s="1" t="str">
        <f>("Knowledge and the body-mind problem:In defence of interaction /")</f>
        <v>Knowledge and the body-mind problem:In defence of interaction /</v>
      </c>
      <c r="D9" s="1" t="str">
        <f>("罕用書庫1-洽櫃台填單 Upon-Request Collection1 fil")</f>
        <v>罕用書庫1-洽櫃台填單 Upon-Request Collection1 fil</v>
      </c>
      <c r="E9" s="1" t="str">
        <f>("BF161 P831 1996")</f>
        <v>BF161 P831 1996</v>
      </c>
      <c r="G9" s="1" t="str">
        <f>("158p.;")</f>
        <v>158p.;</v>
      </c>
      <c r="I9" s="1" t="str">
        <f>("21cm.")</f>
        <v>21cm.</v>
      </c>
    </row>
    <row r="10" spans="2:10" x14ac:dyDescent="0.25">
      <c r="B10" s="1" t="str">
        <f>("W00002313")</f>
        <v>W00002313</v>
      </c>
      <c r="C10" s="1" t="str">
        <f>("Handbook of psychological testing /")</f>
        <v>Handbook of psychological testing /</v>
      </c>
      <c r="D10" s="1" t="str">
        <f t="shared" ref="D10:D23" si="0">("4F西文書庫 4F Western Language Books")</f>
        <v>4F西文書庫 4F Western Language Books</v>
      </c>
      <c r="E10" s="1" t="str">
        <f>("BF176 K575 2000")</f>
        <v>BF176 K575 2000</v>
      </c>
    </row>
    <row r="11" spans="2:10" x14ac:dyDescent="0.25">
      <c r="B11" s="1" t="str">
        <f>("W00002111")</f>
        <v>W00002111</v>
      </c>
      <c r="C11" s="1" t="str">
        <f>("Learning from world class companies/ ")</f>
        <v xml:space="preserve">Learning from world class companies/ </v>
      </c>
      <c r="D11" s="1" t="str">
        <f t="shared" si="0"/>
        <v>4F西文書庫 4F Western Language Books</v>
      </c>
      <c r="E11" s="1" t="str">
        <f>("BF318 T926 2001")</f>
        <v>BF318 T926 2001</v>
      </c>
    </row>
    <row r="12" spans="2:10" x14ac:dyDescent="0.25">
      <c r="B12" s="1" t="str">
        <f>("W00002284")</f>
        <v>W00002284</v>
      </c>
      <c r="C12" s="1" t="str">
        <f>("Strategic thinking :a step-by-step approach to strategy /")</f>
        <v>Strategic thinking :a step-by-step approach to strategy /</v>
      </c>
      <c r="D12" s="1" t="str">
        <f t="shared" si="0"/>
        <v>4F西文書庫 4F Western Language Books</v>
      </c>
      <c r="E12" s="1" t="str">
        <f>("BF441 W918 2001")</f>
        <v>BF441 W918 2001</v>
      </c>
    </row>
    <row r="13" spans="2:10" x14ac:dyDescent="0.25">
      <c r="B13" s="1" t="str">
        <f>("W00002399")</f>
        <v>W00002399</v>
      </c>
      <c r="C13" s="1" t="str">
        <f>("Motivation and goal-setting :how to set and achieve goals and inspire others /")</f>
        <v>Motivation and goal-setting :how to set and achieve goals and inspire others /</v>
      </c>
      <c r="D13" s="1" t="str">
        <f t="shared" si="0"/>
        <v>4F西文書庫 4F Western Language Books</v>
      </c>
      <c r="E13" s="1" t="str">
        <f>("BF503 C136 1998")</f>
        <v>BF503 C136 1998</v>
      </c>
    </row>
    <row r="14" spans="2:10" x14ac:dyDescent="0.25">
      <c r="B14" s="1" t="str">
        <f>("W00002395")</f>
        <v>W00002395</v>
      </c>
      <c r="C14" s="1" t="str">
        <f>("100 ways to motivate yourself :change your life forever /")</f>
        <v>100 ways to motivate yourself :change your life forever /</v>
      </c>
      <c r="D14" s="1" t="str">
        <f t="shared" si="0"/>
        <v>4F西文書庫 4F Western Language Books</v>
      </c>
      <c r="E14" s="1" t="str">
        <f>("BF503 C455 2001")</f>
        <v>BF503 C455 2001</v>
      </c>
    </row>
    <row r="15" spans="2:10" x14ac:dyDescent="0.25">
      <c r="B15" s="1" t="str">
        <f>("W00003175")</f>
        <v>W00003175</v>
      </c>
      <c r="C15" s="1" t="str">
        <f>("The big book of motivation games :quick, fun activities for energizing people at work and at home /")</f>
        <v>The big book of motivation games :quick, fun activities for energizing people at work and at home /</v>
      </c>
      <c r="D15" s="1" t="str">
        <f t="shared" si="0"/>
        <v>4F西文書庫 4F Western Language Books</v>
      </c>
      <c r="E15" s="1" t="str">
        <f>("BF503 E64 2001")</f>
        <v>BF503 E64 2001</v>
      </c>
    </row>
    <row r="16" spans="2:10" x14ac:dyDescent="0.25">
      <c r="B16" s="1" t="str">
        <f>("W00003099")</f>
        <v>W00003099</v>
      </c>
      <c r="C16" s="1" t="str">
        <f>("You can win :winners don't do different things they do things differently : a step-by-step tool for top acheivers /")</f>
        <v>You can win :winners don't do different things they do things differently : a step-by-step tool for top acheivers /</v>
      </c>
      <c r="D16" s="1" t="str">
        <f t="shared" si="0"/>
        <v>4F西文書庫 4F Western Language Books</v>
      </c>
      <c r="E16" s="1" t="str">
        <f>("BF503 K45 1998")</f>
        <v>BF503 K45 1998</v>
      </c>
    </row>
    <row r="17" spans="2:9" x14ac:dyDescent="0.25">
      <c r="B17" s="1" t="str">
        <f>("W00002319")</f>
        <v>W00002319</v>
      </c>
      <c r="C17" s="1" t="str">
        <f>("The helping relationship :process and skills /")</f>
        <v>The helping relationship :process and skills /</v>
      </c>
      <c r="D17" s="1" t="str">
        <f t="shared" si="0"/>
        <v>4F西文書庫 4F Western Language Books</v>
      </c>
      <c r="E17" s="1" t="str">
        <f>("BF637 B815 1999")</f>
        <v>BF637 B815 1999</v>
      </c>
    </row>
    <row r="18" spans="2:9" x14ac:dyDescent="0.25">
      <c r="B18" s="1" t="str">
        <f>("W00002201")</f>
        <v>W00002201</v>
      </c>
      <c r="C18" s="1" t="str">
        <f>("Allyn and Bacon quick guide to the Internet for counseling / ")</f>
        <v xml:space="preserve">Allyn and Bacon quick guide to the Internet for counseling / </v>
      </c>
      <c r="D18" s="1" t="str">
        <f t="shared" si="0"/>
        <v>4F西文書庫 4F Western Language Books</v>
      </c>
      <c r="E18" s="1" t="str">
        <f>("BF637.76 P113 2001")</f>
        <v>BF637.76 P113 2001</v>
      </c>
    </row>
    <row r="19" spans="2:9" x14ac:dyDescent="0.25">
      <c r="B19" s="1" t="str">
        <f>("W00002200")</f>
        <v>W00002200</v>
      </c>
      <c r="C19" s="1" t="str">
        <f>("Counseling strategies and interventions / ")</f>
        <v xml:space="preserve">Counseling strategies and interventions / </v>
      </c>
      <c r="D19" s="1" t="str">
        <f t="shared" si="0"/>
        <v>4F西文書庫 4F Western Language Books</v>
      </c>
      <c r="E19" s="1" t="str">
        <f>("BF637.C6 C811 1999")</f>
        <v>BF637.C6 C811 1999</v>
      </c>
    </row>
    <row r="20" spans="2:9" x14ac:dyDescent="0.25">
      <c r="B20" s="1" t="str">
        <f>("W00003096")</f>
        <v>W00003096</v>
      </c>
      <c r="C20" s="1" t="str">
        <f>("Thinking on your feet in negotiations :new approaches to creative thinking and problem solving /")</f>
        <v>Thinking on your feet in negotiations :new approaches to creative thinking and problem solving /</v>
      </c>
      <c r="D20" s="1" t="str">
        <f t="shared" si="0"/>
        <v>4F西文書庫 4F Western Language Books</v>
      </c>
      <c r="E20" s="1" t="str">
        <f>("BF637.N4 H691 2000")</f>
        <v>BF637.N4 H691 2000</v>
      </c>
    </row>
    <row r="21" spans="2:9" x14ac:dyDescent="0.25">
      <c r="B21" s="1" t="str">
        <f>("W00002388")</f>
        <v>W00002388</v>
      </c>
      <c r="C21" s="1" t="str">
        <f>("There are no limits :breaking the barriers in personal high performance /")</f>
        <v>There are no limits :breaking the barriers in personal high performance /</v>
      </c>
      <c r="D21" s="1" t="str">
        <f t="shared" si="0"/>
        <v>4F西文書庫 4F Western Language Books</v>
      </c>
      <c r="E21" s="1" t="str">
        <f>("BF637.S4 C877 1998")</f>
        <v>BF637.S4 C877 1998</v>
      </c>
    </row>
    <row r="22" spans="2:9" x14ac:dyDescent="0.25">
      <c r="B22" s="1" t="str">
        <f>("W00002401")</f>
        <v>W00002401</v>
      </c>
      <c r="C22" s="1" t="str">
        <f>("A new attitude :achieving personal and professional success by keeping a positive mental outlook /")</f>
        <v>A new attitude :achieving personal and professional success by keeping a positive mental outlook /</v>
      </c>
      <c r="D22" s="1" t="str">
        <f t="shared" si="0"/>
        <v>4F西文書庫 4F Western Language Books</v>
      </c>
      <c r="E22" s="1" t="str">
        <f>("BF637.S8 T454 1991")</f>
        <v>BF637.S8 T454 1991</v>
      </c>
    </row>
    <row r="23" spans="2:9" x14ac:dyDescent="0.25">
      <c r="B23" s="1" t="str">
        <f>("W00002493")</f>
        <v>W00002493</v>
      </c>
      <c r="C23" s="1" t="str">
        <f>("Foundations of behavioral research /")</f>
        <v>Foundations of behavioral research /</v>
      </c>
      <c r="D23" s="1" t="str">
        <f t="shared" si="0"/>
        <v>4F西文書庫 4F Western Language Books</v>
      </c>
      <c r="E23" s="1" t="str">
        <f>("BF76.5 K39-2 1999")</f>
        <v>BF76.5 K39-2 1999</v>
      </c>
      <c r="G23" s="1" t="str">
        <f>("xxv, 890, [90] p.:")</f>
        <v>xxv, 890, [90] p.:</v>
      </c>
      <c r="H23" s="1" t="str">
        <f>("ill. ;")</f>
        <v>ill. ;</v>
      </c>
      <c r="I23" s="1" t="str">
        <f>("25 cm ")</f>
        <v xml:space="preserve">25 cm </v>
      </c>
    </row>
    <row r="24" spans="2:9" x14ac:dyDescent="0.25">
      <c r="B24" s="1" t="str">
        <f>("W00002304")</f>
        <v>W00002304</v>
      </c>
      <c r="C24" s="1" t="str">
        <f>("Exploring research /")</f>
        <v>Exploring research /</v>
      </c>
      <c r="D24" s="1" t="str">
        <f>("罕用書庫1-洽櫃台填單 Upon-Request Collection1 fil")</f>
        <v>罕用書庫1-洽櫃台填單 Upon-Request Collection1 fil</v>
      </c>
      <c r="E24" s="1" t="str">
        <f>("BF76.5 S159 2000")</f>
        <v>BF76.5 S159 2000</v>
      </c>
      <c r="G24" s="1" t="str">
        <f>("336p.")</f>
        <v>336p.</v>
      </c>
      <c r="I24" s="1" t="str">
        <f>("27 cm. ")</f>
        <v xml:space="preserve">27 cm. </v>
      </c>
    </row>
    <row r="25" spans="2:9" x14ac:dyDescent="0.25">
      <c r="B25" s="1" t="str">
        <f>("W00002391")</f>
        <v>W00002391</v>
      </c>
      <c r="C25" s="1" t="str">
        <f>("21-day countdown to success :take charge of your life in less than a month /")</f>
        <v>21-day countdown to success :take charge of your life in less than a month /</v>
      </c>
      <c r="D25" s="1" t="str">
        <f>("4F西文書庫 4F Western Language Books")</f>
        <v>4F西文書庫 4F Western Language Books</v>
      </c>
      <c r="E25" s="1" t="str">
        <f>("BJ1611.2 W832 1998")</f>
        <v>BJ1611.2 W832 1998</v>
      </c>
    </row>
    <row r="26" spans="2:9" x14ac:dyDescent="0.25">
      <c r="B26" s="1" t="str">
        <f>("W00002291")</f>
        <v>W00002291</v>
      </c>
      <c r="C26" s="1" t="str">
        <f>("Reason and insightWestern and Eastern perspectives on the pursuit of moral wisdom /")</f>
        <v>Reason and insightWestern and Eastern perspectives on the pursuit of moral wisdom /</v>
      </c>
      <c r="D26" s="1" t="str">
        <f>("罕用書庫1-洽櫃台填單 Upon-Request Collection1 fil")</f>
        <v>罕用書庫1-洽櫃台填單 Upon-Request Collection1 fil</v>
      </c>
      <c r="E26" s="1" t="str">
        <f>("BJ69 S524 1996")</f>
        <v>BJ69 S524 1996</v>
      </c>
      <c r="G26" s="1" t="str">
        <f>("xix, 483 p. :")</f>
        <v>xix, 483 p. :</v>
      </c>
      <c r="H26" s="1" t="str">
        <f>("ill. ;")</f>
        <v>ill. ;</v>
      </c>
      <c r="I26" s="1" t="str">
        <f>("24 cm. ")</f>
        <v xml:space="preserve">24 cm. </v>
      </c>
    </row>
    <row r="27" spans="2:9" x14ac:dyDescent="0.25">
      <c r="B27" s="1" t="str">
        <f>("W00002225")</f>
        <v>W00002225</v>
      </c>
      <c r="C27" s="1" t="str">
        <f>("A history of Christianity")</f>
        <v>A history of Christianity</v>
      </c>
      <c r="D27" s="1" t="str">
        <f t="shared" ref="D27:D61" si="1">("4F西文書庫 4F Western Language Books")</f>
        <v>4F西文書庫 4F Western Language Books</v>
      </c>
      <c r="E27" s="1" t="str">
        <f>("BV4596 H673 2000 v.1")</f>
        <v>BV4596 H673 2000 v.1</v>
      </c>
    </row>
    <row r="28" spans="2:9" x14ac:dyDescent="0.25">
      <c r="B28" s="1" t="str">
        <f>("W00002224")</f>
        <v>W00002224</v>
      </c>
      <c r="C28" s="1" t="str">
        <f>("A history of Christianity")</f>
        <v>A history of Christianity</v>
      </c>
      <c r="D28" s="1" t="str">
        <f t="shared" si="1"/>
        <v>4F西文書庫 4F Western Language Books</v>
      </c>
      <c r="E28" s="1" t="str">
        <f>("BV4596 H673 2000 v.2")</f>
        <v>BV4596 H673 2000 v.2</v>
      </c>
    </row>
    <row r="29" spans="2:9" x14ac:dyDescent="0.25">
      <c r="B29" s="1" t="str">
        <f>("W00002830")</f>
        <v>W00002830</v>
      </c>
      <c r="C29" s="1" t="str">
        <f>("Database nation : the death of privacy in the 21st century / ")</f>
        <v xml:space="preserve">Database nation : the death of privacy in the 21st century / </v>
      </c>
      <c r="D29" s="1" t="str">
        <f t="shared" si="1"/>
        <v>4F西文書庫 4F Western Language Books</v>
      </c>
      <c r="E29" s="1" t="str">
        <f>("C596.2.U5 G231 2000")</f>
        <v>C596.2.U5 G231 2000</v>
      </c>
    </row>
    <row r="30" spans="2:9" x14ac:dyDescent="0.25">
      <c r="B30" s="1" t="str">
        <f>("W00003256")</f>
        <v>W00003256</v>
      </c>
      <c r="C30" s="1" t="str">
        <f>("Traveler's tales France /")</f>
        <v>Traveler's tales France /</v>
      </c>
      <c r="D30" s="1" t="str">
        <f t="shared" si="1"/>
        <v>4F西文書庫 4F Western Language Books</v>
      </c>
      <c r="E30" s="1" t="str">
        <f>("DC16 T779 1995")</f>
        <v>DC16 T779 1995</v>
      </c>
    </row>
    <row r="31" spans="2:9" x14ac:dyDescent="0.25">
      <c r="B31" s="1" t="str">
        <f>("W00002803")</f>
        <v>W00002803</v>
      </c>
      <c r="C31" s="1" t="str">
        <f>("Core Java 2 /")</f>
        <v>Core Java 2 /</v>
      </c>
      <c r="D31" s="1" t="str">
        <f t="shared" si="1"/>
        <v>4F西文書庫 4F Western Language Books</v>
      </c>
      <c r="E31" s="1" t="str">
        <f>("DS646.21 H819 2000")</f>
        <v>DS646.21 H819 2000</v>
      </c>
    </row>
    <row r="32" spans="2:9" x14ac:dyDescent="0.25">
      <c r="B32" s="1" t="str">
        <f>("W00002953")</f>
        <v>W00002953</v>
      </c>
      <c r="C32" s="1" t="str">
        <f>("Javascript 1.5 by example / ")</f>
        <v xml:space="preserve">Javascript 1.5 by example / </v>
      </c>
      <c r="D32" s="1" t="str">
        <f t="shared" si="1"/>
        <v>4F西文書庫 4F Western Language Books</v>
      </c>
      <c r="E32" s="1" t="str">
        <f>("DS646.21 K55 2001")</f>
        <v>DS646.21 K55 2001</v>
      </c>
    </row>
    <row r="33" spans="2:9" x14ac:dyDescent="0.25">
      <c r="B33" s="1" t="str">
        <f>("W00002108")</f>
        <v>W00002108</v>
      </c>
      <c r="C33" s="1" t="str">
        <f>("China's century : the awakening of the next economic powerhouse / ")</f>
        <v xml:space="preserve">China's century : the awakening of the next economic powerhouse / </v>
      </c>
      <c r="D33" s="1" t="str">
        <f t="shared" si="1"/>
        <v>4F西文書庫 4F Western Language Books</v>
      </c>
      <c r="E33" s="1" t="str">
        <f>("DS706 B813 2001")</f>
        <v>DS706 B813 2001</v>
      </c>
    </row>
    <row r="34" spans="2:9" x14ac:dyDescent="0.25">
      <c r="B34" s="1" t="str">
        <f>("W00003104")</f>
        <v>W00003104</v>
      </c>
      <c r="C34" s="1" t="str">
        <f>("The era of Jiang Zemin /")</f>
        <v>The era of Jiang Zemin /</v>
      </c>
      <c r="D34" s="1" t="str">
        <f t="shared" si="1"/>
        <v>4F西文書庫 4F Western Language Books</v>
      </c>
      <c r="E34" s="1" t="str">
        <f>("DS779.2 L213 1999")</f>
        <v>DS779.2 L213 1999</v>
      </c>
    </row>
    <row r="35" spans="2:9" x14ac:dyDescent="0.25">
      <c r="B35" s="1" t="str">
        <f>("W00002054")</f>
        <v>W00002054</v>
      </c>
      <c r="C35" s="1" t="str">
        <f>("Tourism and economic development in Asia and Australasia /")</f>
        <v>Tourism and economic development in Asia and Australasia /</v>
      </c>
      <c r="D35" s="1" t="str">
        <f t="shared" si="1"/>
        <v>4F西文書庫 4F Western Language Books</v>
      </c>
      <c r="E35" s="1" t="str">
        <f>("G155 G573 1997")</f>
        <v>G155 G573 1997</v>
      </c>
    </row>
    <row r="36" spans="2:9" x14ac:dyDescent="0.25">
      <c r="B36" s="1" t="str">
        <f>("W00002226")</f>
        <v>W00002226</v>
      </c>
      <c r="C36" s="1" t="str">
        <f>("English for international tourism/ ")</f>
        <v xml:space="preserve">English for international tourism/ </v>
      </c>
      <c r="D36" s="1" t="str">
        <f t="shared" si="1"/>
        <v>4F西文書庫 4F Western Language Books</v>
      </c>
      <c r="E36" s="1" t="str">
        <f>("G155.A1 J16 2000")</f>
        <v>G155.A1 J16 2000</v>
      </c>
    </row>
    <row r="37" spans="2:9" x14ac:dyDescent="0.25">
      <c r="B37" s="1" t="str">
        <f>("W00002228")</f>
        <v>W00002228</v>
      </c>
      <c r="C37" s="1" t="str">
        <f>("English for international tourism/ ")</f>
        <v xml:space="preserve">English for international tourism/ </v>
      </c>
      <c r="D37" s="1" t="str">
        <f t="shared" si="1"/>
        <v>4F西文書庫 4F Western Language Books</v>
      </c>
      <c r="E37" s="1" t="str">
        <f>("G155.A1 J16 2000")</f>
        <v>G155.A1 J16 2000</v>
      </c>
    </row>
    <row r="38" spans="2:9" x14ac:dyDescent="0.25">
      <c r="B38" s="1" t="str">
        <f>("W00003219")</f>
        <v>W00003219</v>
      </c>
      <c r="C38" s="1" t="str">
        <f>("Tourism in global society :place, culture, consumption /")</f>
        <v>Tourism in global society :place, culture, consumption /</v>
      </c>
      <c r="D38" s="1" t="str">
        <f t="shared" si="1"/>
        <v>4F西文書庫 4F Western Language Books</v>
      </c>
      <c r="E38" s="1" t="str">
        <f>("G155.A1 M487 2001")</f>
        <v>G155.A1 M487 2001</v>
      </c>
    </row>
    <row r="39" spans="2:9" x14ac:dyDescent="0.25">
      <c r="B39" s="1" t="str">
        <f>("W00002085")</f>
        <v>W00002085</v>
      </c>
      <c r="C39" s="1" t="str">
        <f>("Vocational a level business/")</f>
        <v>Vocational a level business/</v>
      </c>
      <c r="D39" s="1" t="str">
        <f t="shared" si="1"/>
        <v>4F西文書庫 4F Western Language Books</v>
      </c>
      <c r="E39" s="1" t="str">
        <f>("G156.5 B933 2000")</f>
        <v>G156.5 B933 2000</v>
      </c>
    </row>
    <row r="40" spans="2:9" x14ac:dyDescent="0.25">
      <c r="B40" s="1" t="str">
        <f>("W00002038")</f>
        <v>W00002038</v>
      </c>
      <c r="C40" s="1" t="str">
        <f>("The smart woman's guide to business travel /")</f>
        <v>The smart woman's guide to business travel /</v>
      </c>
      <c r="D40" s="1" t="str">
        <f t="shared" si="1"/>
        <v>4F西文書庫 4F Western Language Books</v>
      </c>
      <c r="E40" s="1" t="str">
        <f>("G156.50 B726 1999")</f>
        <v>G156.50 B726 1999</v>
      </c>
    </row>
    <row r="41" spans="2:9" x14ac:dyDescent="0.25">
      <c r="B41" s="1" t="str">
        <f>("W00002749")</f>
        <v>W00002749</v>
      </c>
      <c r="C41" s="1" t="str">
        <f>("Customer service over the phone / ")</f>
        <v xml:space="preserve">Customer service over the phone / </v>
      </c>
      <c r="D41" s="1" t="str">
        <f t="shared" si="1"/>
        <v>4F西文書庫 4F Western Language Books</v>
      </c>
      <c r="E41" s="1" t="str">
        <f>("G3824.P5 C834 1999")</f>
        <v>G3824.P5 C834 1999</v>
      </c>
      <c r="G41" s="1" t="str">
        <f>("143p.: ")</f>
        <v xml:space="preserve">143p.: </v>
      </c>
      <c r="H41" s="1" t="str">
        <f>("ill. ; ")</f>
        <v xml:space="preserve">ill. ; </v>
      </c>
      <c r="I41" s="1" t="str">
        <f>("22cm.")</f>
        <v>22cm.</v>
      </c>
    </row>
    <row r="42" spans="2:9" x14ac:dyDescent="0.25">
      <c r="B42" s="1" t="str">
        <f>("W00002525")</f>
        <v>W00002525</v>
      </c>
      <c r="C42" s="1" t="str">
        <f>("Home design working a design guide")</f>
        <v>Home design working a design guide</v>
      </c>
      <c r="D42" s="1" t="str">
        <f t="shared" si="1"/>
        <v>4F西文書庫 4F Western Language Books</v>
      </c>
      <c r="E42" s="1" t="str">
        <f>("GA309 L419 1999")</f>
        <v>GA309 L419 1999</v>
      </c>
    </row>
    <row r="43" spans="2:9" x14ac:dyDescent="0.25">
      <c r="B43" s="1" t="str">
        <f>("W00002147")</f>
        <v>W00002147</v>
      </c>
      <c r="C43" s="1" t="str">
        <f>("Human adaptive strategies : ecology, culture, and politics / ")</f>
        <v xml:space="preserve">Human adaptive strategies : ecology, culture, and politics / </v>
      </c>
      <c r="D43" s="1" t="str">
        <f t="shared" si="1"/>
        <v>4F西文書庫 4F Western Language Books</v>
      </c>
      <c r="E43" s="1" t="str">
        <f>("GF50 B329 1998")</f>
        <v>GF50 B329 1998</v>
      </c>
    </row>
    <row r="44" spans="2:9" x14ac:dyDescent="0.25">
      <c r="B44" s="1" t="str">
        <f>("W00002298")</f>
        <v>W00002298</v>
      </c>
      <c r="C44" s="1" t="str">
        <f>("Being human :an introduction to cultural anthropology /")</f>
        <v>Being human :an introduction to cultural anthropology /</v>
      </c>
      <c r="D44" s="1" t="str">
        <f t="shared" si="1"/>
        <v>4F西文書庫 4F Western Language Books</v>
      </c>
      <c r="E44" s="1" t="str">
        <f>("GN316 W872 1998")</f>
        <v>GN316 W872 1998</v>
      </c>
    </row>
    <row r="45" spans="2:9" x14ac:dyDescent="0.25">
      <c r="B45" s="1" t="str">
        <f>("W00002250")</f>
        <v>W00002250</v>
      </c>
      <c r="C45" s="1" t="str">
        <f>("Culture and modern life /")</f>
        <v>Culture and modern life /</v>
      </c>
      <c r="D45" s="1" t="str">
        <f t="shared" si="1"/>
        <v>4F西文書庫 4F Western Language Books</v>
      </c>
      <c r="E45" s="1" t="str">
        <f>("GN502 M343 1997")</f>
        <v>GN502 M343 1997</v>
      </c>
    </row>
    <row r="46" spans="2:9" x14ac:dyDescent="0.25">
      <c r="B46" s="1" t="str">
        <f>("W00002309")</f>
        <v>W00002309</v>
      </c>
      <c r="C46" s="1" t="str">
        <f>("The life story interview /")</f>
        <v>The life story interview /</v>
      </c>
      <c r="D46" s="1" t="str">
        <f t="shared" si="1"/>
        <v>4F西文書庫 4F Western Language Books</v>
      </c>
      <c r="E46" s="1" t="str">
        <f>("GR72.3 A875 1998")</f>
        <v>GR72.3 A875 1998</v>
      </c>
    </row>
    <row r="47" spans="2:9" x14ac:dyDescent="0.25">
      <c r="B47" s="1" t="str">
        <f>("W00002072")</f>
        <v>W00002072</v>
      </c>
      <c r="C47" s="1" t="str">
        <f>("Managing activism :a guide to dealing with activists and pressure groups /")</f>
        <v>Managing activism :a guide to dealing with activists and pressure groups /</v>
      </c>
      <c r="D47" s="1" t="str">
        <f t="shared" si="1"/>
        <v>4F西文書庫 4F Western Language Books</v>
      </c>
      <c r="E47" s="1" t="str">
        <f>("GV160 D311 2001")</f>
        <v>GV160 D311 2001</v>
      </c>
    </row>
    <row r="48" spans="2:9" x14ac:dyDescent="0.25">
      <c r="B48" s="1" t="str">
        <f>("W00002293")</f>
        <v>W00002293</v>
      </c>
      <c r="C48" s="1" t="str">
        <f>("Guidelines for physical education programs, grades K-12 :standards, objectives, and assessments /")</f>
        <v>Guidelines for physical education programs, grades K-12 :standards, objectives, and assessments /</v>
      </c>
      <c r="D48" s="1" t="str">
        <f t="shared" si="1"/>
        <v>4F西文書庫 4F Western Language Books</v>
      </c>
      <c r="E48" s="1" t="str">
        <f>("GV443 G946 2000")</f>
        <v>GV443 G946 2000</v>
      </c>
    </row>
    <row r="49" spans="2:9" x14ac:dyDescent="0.25">
      <c r="B49" s="1" t="str">
        <f>("W00002447")</f>
        <v>W00002447</v>
      </c>
      <c r="C49" s="1" t="str">
        <f>("Michael Jordan speaks : lessons from the world's greatest champion / ")</f>
        <v xml:space="preserve">Michael Jordan speaks : lessons from the world's greatest champion / </v>
      </c>
      <c r="D49" s="1" t="str">
        <f t="shared" si="1"/>
        <v>4F西文書庫 4F Western Language Books</v>
      </c>
      <c r="E49" s="1" t="str">
        <f>("GV884.J67 J82 1999")</f>
        <v>GV884.J67 J82 1999</v>
      </c>
    </row>
    <row r="50" spans="2:9" x14ac:dyDescent="0.25">
      <c r="B50" s="1" t="str">
        <f>("W00002188")</f>
        <v>W00002188</v>
      </c>
      <c r="C50" s="1" t="str">
        <f>("Research designs /")</f>
        <v>Research designs /</v>
      </c>
      <c r="D50" s="1" t="str">
        <f t="shared" si="1"/>
        <v>4F西文書庫 4F Western Language Books</v>
      </c>
      <c r="E50" s="1" t="str">
        <f>("H62 S741 1981")</f>
        <v>H62 S741 1981</v>
      </c>
    </row>
    <row r="51" spans="2:9" x14ac:dyDescent="0.25">
      <c r="B51" s="1" t="str">
        <f>("W00002050")</f>
        <v>W00002050</v>
      </c>
      <c r="C51" s="1" t="str">
        <f>("An introduction to the economics of information :incentives and contracts /")</f>
        <v>An introduction to the economics of information :incentives and contracts /</v>
      </c>
      <c r="D51" s="1" t="str">
        <f t="shared" si="1"/>
        <v>4F西文書庫 4F Western Language Books</v>
      </c>
      <c r="E51" s="1" t="str">
        <f>("HB133 S767 1997")</f>
        <v>HB133 S767 1997</v>
      </c>
    </row>
    <row r="52" spans="2:9" x14ac:dyDescent="0.25">
      <c r="B52" s="1" t="str">
        <f>("W00002555")</f>
        <v>W00002555</v>
      </c>
      <c r="C52" s="1" t="str">
        <f>("An introduction to classical econometric theory / ")</f>
        <v xml:space="preserve">An introduction to classical econometric theory / </v>
      </c>
      <c r="D52" s="1" t="str">
        <f t="shared" si="1"/>
        <v>4F西文書庫 4F Western Language Books</v>
      </c>
      <c r="E52" s="1" t="str">
        <f>("HB139 R894 2000")</f>
        <v>HB139 R894 2000</v>
      </c>
      <c r="G52" s="1" t="str">
        <f>("xxiv, 951 p. : ")</f>
        <v xml:space="preserve">xxiv, 951 p. : </v>
      </c>
      <c r="H52" s="1" t="str">
        <f>("ill. ; ")</f>
        <v xml:space="preserve">ill. ; </v>
      </c>
      <c r="I52" s="1" t="str">
        <f>("25 cm. ")</f>
        <v xml:space="preserve">25 cm. </v>
      </c>
    </row>
    <row r="53" spans="2:9" x14ac:dyDescent="0.25">
      <c r="B53" s="1" t="str">
        <f>("W00002047")</f>
        <v>W00002047</v>
      </c>
      <c r="C53" s="1" t="str">
        <f>("Econometrics :alchemy or science? : essays in econometric methodology /")</f>
        <v>Econometrics :alchemy or science? : essays in econometric methodology /</v>
      </c>
      <c r="D53" s="1" t="str">
        <f t="shared" si="1"/>
        <v>4F西文書庫 4F Western Language Books</v>
      </c>
      <c r="E53" s="1" t="str">
        <f>("HB141 H498 2000")</f>
        <v>HB141 H498 2000</v>
      </c>
    </row>
    <row r="54" spans="2:9" x14ac:dyDescent="0.25">
      <c r="B54" s="1" t="str">
        <f>("W00002260")</f>
        <v>W00002260</v>
      </c>
      <c r="C54" s="1" t="str">
        <f>("Becoming dynamic:creating and sustaining the dynamic organisation/")</f>
        <v>Becoming dynamic:creating and sustaining the dynamic organisation/</v>
      </c>
      <c r="D54" s="1" t="str">
        <f t="shared" si="1"/>
        <v>4F西文書庫 4F Western Language Books</v>
      </c>
      <c r="E54" s="1" t="str">
        <f>("HB141 J12 2000")</f>
        <v>HB141 J12 2000</v>
      </c>
    </row>
    <row r="55" spans="2:9" x14ac:dyDescent="0.25">
      <c r="B55" s="1" t="str">
        <f>("W00002498")</f>
        <v>W00002498</v>
      </c>
      <c r="C55" s="1" t="str">
        <f>("Games of strategy /")</f>
        <v>Games of strategy /</v>
      </c>
      <c r="D55" s="1" t="str">
        <f t="shared" si="1"/>
        <v>4F西文書庫 4F Western Language Books</v>
      </c>
      <c r="E55" s="1" t="str">
        <f>("HB144 D619 1999")</f>
        <v>HB144 D619 1999</v>
      </c>
    </row>
    <row r="56" spans="2:9" x14ac:dyDescent="0.25">
      <c r="B56" s="1" t="str">
        <f>("W00002083")</f>
        <v>W00002083</v>
      </c>
      <c r="C56" s="1" t="str">
        <f>("The big book of creativity games :quick, fun activities for jumpstarting innovation /")</f>
        <v>The big book of creativity games :quick, fun activities for jumpstarting innovation /</v>
      </c>
      <c r="D56" s="1" t="str">
        <f t="shared" si="1"/>
        <v>4F西文書庫 4F Western Language Books</v>
      </c>
      <c r="E56" s="1" t="str">
        <f>("HB144 E63 2000")</f>
        <v>HB144 E63 2000</v>
      </c>
    </row>
    <row r="57" spans="2:9" x14ac:dyDescent="0.25">
      <c r="B57" s="1" t="str">
        <f>("W00002073")</f>
        <v>W00002073</v>
      </c>
      <c r="C57" s="1" t="str">
        <f>("Comparative statics analysis in economics /")</f>
        <v>Comparative statics analysis in economics /</v>
      </c>
      <c r="D57" s="1" t="str">
        <f t="shared" si="1"/>
        <v>4F西文書庫 4F Western Language Books</v>
      </c>
      <c r="E57" s="1" t="str">
        <f>("HB145 C976 2000")</f>
        <v>HB145 C976 2000</v>
      </c>
    </row>
    <row r="58" spans="2:9" x14ac:dyDescent="0.25">
      <c r="B58" s="1" t="str">
        <f>("W00002476")</f>
        <v>W00002476</v>
      </c>
      <c r="C58" s="1" t="str">
        <f>("The economics of public issues/ ")</f>
        <v xml:space="preserve">The economics of public issues/ </v>
      </c>
      <c r="D58" s="1" t="str">
        <f t="shared" si="1"/>
        <v>4F西文書庫 4F Western Language Books</v>
      </c>
      <c r="E58" s="1" t="str">
        <f>("HB171 M647 1998")</f>
        <v>HB171 M647 1998</v>
      </c>
    </row>
    <row r="59" spans="2:9" x14ac:dyDescent="0.25">
      <c r="B59" s="1" t="str">
        <f>("W00002180")</f>
        <v>W00002180</v>
      </c>
      <c r="C59" s="1" t="str">
        <f>("Business economics(2nd) / ")</f>
        <v xml:space="preserve">Business economics(2nd) / </v>
      </c>
      <c r="D59" s="1" t="str">
        <f t="shared" si="1"/>
        <v>4F西文書庫 4F Western Language Books</v>
      </c>
      <c r="E59" s="1" t="str">
        <f>("HB171 M895 2000")</f>
        <v>HB171 M895 2000</v>
      </c>
    </row>
    <row r="60" spans="2:9" x14ac:dyDescent="0.25">
      <c r="B60" s="1" t="str">
        <f>("W00002462")</f>
        <v>W00002462</v>
      </c>
      <c r="C60" s="1" t="str">
        <f>("Economics /")</f>
        <v>Economics /</v>
      </c>
      <c r="D60" s="1" t="str">
        <f t="shared" si="1"/>
        <v>4F西文書庫 4F Western Language Books</v>
      </c>
      <c r="E60" s="1" t="str">
        <f>("HB171.5 L767 1998")</f>
        <v>HB171.5 L767 1998</v>
      </c>
    </row>
    <row r="61" spans="2:9" x14ac:dyDescent="0.25">
      <c r="B61" s="1" t="str">
        <f>("W00002482")</f>
        <v>W00002482</v>
      </c>
      <c r="C61" s="1" t="str">
        <f>("Economics today/ ")</f>
        <v xml:space="preserve">Economics today/ </v>
      </c>
      <c r="D61" s="1" t="str">
        <f t="shared" si="1"/>
        <v>4F西文書庫 4F Western Language Books</v>
      </c>
      <c r="E61" s="1" t="str">
        <f>("HB171.5 M647 1998")</f>
        <v>HB171.5 M647 1998</v>
      </c>
      <c r="F61" s="1" t="str">
        <f>("光碟片1片")</f>
        <v>光碟片1片</v>
      </c>
    </row>
    <row r="62" spans="2:9" x14ac:dyDescent="0.25">
      <c r="B62" s="1" t="str">
        <f>("W00002562")</f>
        <v>W00002562</v>
      </c>
      <c r="C62" s="1" t="str">
        <f>("Economics for today /")</f>
        <v>Economics for today /</v>
      </c>
      <c r="D62" s="1" t="str">
        <f>("罕用書庫1-洽櫃台填單 Upon-Request Collection1 fil")</f>
        <v>罕用書庫1-洽櫃台填單 Upon-Request Collection1 fil</v>
      </c>
      <c r="E62" s="1" t="str">
        <f>("HB171.5 T892 2000 c.4")</f>
        <v>HB171.5 T892 2000 c.4</v>
      </c>
      <c r="G62" s="1" t="str">
        <f>("xlv, 795 p. :")</f>
        <v>xlv, 795 p. :</v>
      </c>
      <c r="H62" s="1" t="str">
        <f>("ill. ;")</f>
        <v>ill. ;</v>
      </c>
      <c r="I62" s="1" t="str">
        <f>("27 cm.")</f>
        <v>27 cm.</v>
      </c>
    </row>
    <row r="63" spans="2:9" x14ac:dyDescent="0.25">
      <c r="B63" s="1" t="str">
        <f>("W00003122")</f>
        <v>W00003122</v>
      </c>
      <c r="C63" s="1" t="str">
        <f>("The human resource development handbook /")</f>
        <v>The human resource development handbook /</v>
      </c>
      <c r="D63" s="1" t="str">
        <f t="shared" ref="D63:D94" si="2">("4F西文書庫 4F Western Language Books")</f>
        <v>4F西文書庫 4F Western Language Books</v>
      </c>
      <c r="E63" s="1" t="str">
        <f>("HB172 H279 2000")</f>
        <v>HB172 H279 2000</v>
      </c>
    </row>
    <row r="64" spans="2:9" x14ac:dyDescent="0.25">
      <c r="B64" s="1" t="str">
        <f>("W00002489")</f>
        <v>W00002489</v>
      </c>
      <c r="C64" s="1" t="str">
        <f>("Macroeconomics/ ")</f>
        <v xml:space="preserve">Macroeconomics/ </v>
      </c>
      <c r="D64" s="1" t="str">
        <f t="shared" si="2"/>
        <v>4F西文書庫 4F Western Language Books</v>
      </c>
      <c r="E64" s="1" t="str">
        <f>("HB172.5 G662 2000")</f>
        <v>HB172.5 G662 2000</v>
      </c>
      <c r="G64" s="1" t="str">
        <f>("1 v. (various pagings) :")</f>
        <v>1 v. (various pagings) :</v>
      </c>
      <c r="H64" s="1" t="str">
        <f>("ill. (some col.) ;")</f>
        <v>ill. (some col.) ;</v>
      </c>
      <c r="I64" s="1" t="str">
        <f>("26 cm")</f>
        <v>26 cm</v>
      </c>
    </row>
    <row r="65" spans="2:9" x14ac:dyDescent="0.25">
      <c r="B65" s="1" t="str">
        <f>("W00002211")</f>
        <v>W00002211</v>
      </c>
      <c r="C65" s="1" t="str">
        <f>("A general theory of competition : resources, competences, productivity, economic growth / ")</f>
        <v xml:space="preserve">A general theory of competition : resources, competences, productivity, economic growth / </v>
      </c>
      <c r="D65" s="1" t="str">
        <f t="shared" si="2"/>
        <v>4F西文書庫 4F Western Language Books</v>
      </c>
      <c r="E65" s="1" t="str">
        <f>("HB238 H939 2000")</f>
        <v>HB238 H939 2000</v>
      </c>
    </row>
    <row r="66" spans="2:9" x14ac:dyDescent="0.25">
      <c r="B66" s="1" t="str">
        <f>("W00002575")</f>
        <v>W00002575</v>
      </c>
      <c r="C66" s="1" t="str">
        <f>("Greenspan's taming of the wave, or, A golden age revisited /")</f>
        <v>Greenspan's taming of the wave, or, A golden age revisited /</v>
      </c>
      <c r="D66" s="1" t="str">
        <f t="shared" si="2"/>
        <v>4F西文書庫 4F Western Language Books</v>
      </c>
      <c r="E66" s="1" t="str">
        <f>("HB3711 C527 2000")</f>
        <v>HB3711 C527 2000</v>
      </c>
    </row>
    <row r="67" spans="2:9" x14ac:dyDescent="0.25">
      <c r="B67" s="1" t="str">
        <f>("W00002445")</f>
        <v>W00002445</v>
      </c>
      <c r="C67" s="1" t="str">
        <f>("Entrepreneurship in the global firm /")</f>
        <v>Entrepreneurship in the global firm /</v>
      </c>
      <c r="D67" s="1" t="str">
        <f t="shared" si="2"/>
        <v>4F西文書庫 4F Western Language Books</v>
      </c>
      <c r="E67" s="1" t="str">
        <f>("HB615 B619 2000")</f>
        <v>HB615 B619 2000</v>
      </c>
    </row>
    <row r="68" spans="2:9" x14ac:dyDescent="0.25">
      <c r="B68" s="1" t="str">
        <f>("W00002106")</f>
        <v>W00002106</v>
      </c>
      <c r="C68" s="1" t="str">
        <f>("Patterns in the dark : understanding risk and financial crisis with complexity theory / ")</f>
        <v xml:space="preserve">Patterns in the dark : understanding risk and financial crisis with complexity theory / </v>
      </c>
      <c r="D68" s="1" t="str">
        <f t="shared" si="2"/>
        <v>4F西文書庫 4F Western Language Books</v>
      </c>
      <c r="E68" s="1" t="str">
        <f>("HB95 P481 1999 c.3")</f>
        <v>HB95 P481 1999 c.3</v>
      </c>
      <c r="G68" s="1" t="str">
        <f>("xvi, 222 p. : ")</f>
        <v xml:space="preserve">xvi, 222 p. : </v>
      </c>
      <c r="H68" s="1" t="str">
        <f>("ill. ; ")</f>
        <v xml:space="preserve">ill. ; </v>
      </c>
      <c r="I68" s="1" t="str">
        <f>("24 cm. ")</f>
        <v xml:space="preserve">24 cm. </v>
      </c>
    </row>
    <row r="69" spans="2:9" x14ac:dyDescent="0.25">
      <c r="B69" s="1" t="str">
        <f>("W00002075")</f>
        <v>W00002075</v>
      </c>
      <c r="C69" s="1" t="str">
        <f>("Information, corporate governance, and institutional diversity :competitiveness in Japan, the USA, and the transitional economies /")</f>
        <v>Information, corporate governance, and institutional diversity :competitiveness in Japan, the USA, and the transitional economies /</v>
      </c>
      <c r="D69" s="1" t="str">
        <f t="shared" si="2"/>
        <v>4F西文書庫 4F Western Language Books</v>
      </c>
      <c r="E69" s="1" t="str">
        <f>("HB99.5 A638 2000")</f>
        <v>HB99.5 A638 2000</v>
      </c>
    </row>
    <row r="70" spans="2:9" x14ac:dyDescent="0.25">
      <c r="B70" s="1" t="str">
        <f>("W00003160")</f>
        <v>W00003160</v>
      </c>
      <c r="C70" s="1" t="str">
        <f>("How they achieved :stories of personal achievement and business success /")</f>
        <v>How they achieved :stories of personal achievement and business success /</v>
      </c>
      <c r="D70" s="1" t="str">
        <f t="shared" si="2"/>
        <v>4F西文書庫 4F Western Language Books</v>
      </c>
      <c r="E70" s="1" t="str">
        <f>("HC102.5.A2 W339 2001")</f>
        <v>HC102.5.A2 W339 2001</v>
      </c>
    </row>
    <row r="71" spans="2:9" x14ac:dyDescent="0.25">
      <c r="B71" s="1" t="str">
        <f>("W00002574")</f>
        <v>W00002574</v>
      </c>
      <c r="C71" s="1" t="str">
        <f>("Economic restructuring, technology transfer, and human resource development / ")</f>
        <v xml:space="preserve">Economic restructuring, technology transfer, and human resource development / </v>
      </c>
      <c r="D71" s="1" t="str">
        <f t="shared" si="2"/>
        <v>4F西文書庫 4F Western Language Books</v>
      </c>
      <c r="E71" s="1" t="str">
        <f>("HC412 V813 1999")</f>
        <v>HC412 V813 1999</v>
      </c>
    </row>
    <row r="72" spans="2:9" x14ac:dyDescent="0.25">
      <c r="B72" s="1" t="str">
        <f>("W00002328")</f>
        <v>W00002328</v>
      </c>
      <c r="C72" s="1" t="str">
        <f>("Qualitative research methods:the lifestory interview/")</f>
        <v>Qualitative research methods:the lifestory interview/</v>
      </c>
      <c r="D72" s="1" t="str">
        <f t="shared" si="2"/>
        <v>4F西文書庫 4F Western Language Books</v>
      </c>
      <c r="E72" s="1" t="str">
        <f>("HC412 W894 2000")</f>
        <v>HC412 W894 2000</v>
      </c>
    </row>
    <row r="73" spans="2:9" x14ac:dyDescent="0.25">
      <c r="B73" s="1" t="str">
        <f>("W00002322")</f>
        <v>W00002322</v>
      </c>
      <c r="C73" s="1" t="str">
        <f>("Inside Chinese business : a guide for managers worldwide /")</f>
        <v>Inside Chinese business : a guide for managers worldwide /</v>
      </c>
      <c r="D73" s="1" t="str">
        <f t="shared" si="2"/>
        <v>4F西文書庫 4F Western Language Books</v>
      </c>
      <c r="E73" s="1" t="str">
        <f>("HC427.92 C518 2001")</f>
        <v>HC427.92 C518 2001</v>
      </c>
      <c r="G73" s="1" t="str">
        <f>("xix, 234 p. :")</f>
        <v>xix, 234 p. :</v>
      </c>
      <c r="H73" s="1" t="str">
        <f>("ill. ;")</f>
        <v>ill. ;</v>
      </c>
      <c r="I73" s="1" t="str">
        <f>("24 cm. ")</f>
        <v xml:space="preserve">24 cm. </v>
      </c>
    </row>
    <row r="74" spans="2:9" x14ac:dyDescent="0.25">
      <c r="B74" s="1" t="str">
        <f>("W00002229")</f>
        <v>W00002229</v>
      </c>
      <c r="C74" s="1" t="str">
        <f>("East Asian economies :the miracle, a crisis and the future /")</f>
        <v>East Asian economies :the miracle, a crisis and the future /</v>
      </c>
      <c r="D74" s="1" t="str">
        <f t="shared" si="2"/>
        <v>4F西文書庫 4F Western Language Books</v>
      </c>
      <c r="E74" s="1" t="str">
        <f>("HC460.5 B575 2001")</f>
        <v>HC460.5 B575 2001</v>
      </c>
    </row>
    <row r="75" spans="2:9" x14ac:dyDescent="0.25">
      <c r="B75" s="1" t="str">
        <f>("W00002326")</f>
        <v>W00002326</v>
      </c>
      <c r="C75" s="1" t="str">
        <f>("Evolve! :succeeding in the digital culture of tomorrow /")</f>
        <v>Evolve! :succeeding in the digital culture of tomorrow /</v>
      </c>
      <c r="D75" s="1" t="str">
        <f t="shared" si="2"/>
        <v>4F西文書庫 4F Western Language Books</v>
      </c>
      <c r="E75" s="1" t="str">
        <f>("HC79 K16 2001")</f>
        <v>HC79 K16 2001</v>
      </c>
    </row>
    <row r="76" spans="2:9" x14ac:dyDescent="0.25">
      <c r="B76" s="1" t="str">
        <f>("W00002437")</f>
        <v>W00002437</v>
      </c>
      <c r="C76" s="1" t="str">
        <f>("The whole world's watching :decarbonizing the economy and saving the world /")</f>
        <v>The whole world's watching :decarbonizing the economy and saving the world /</v>
      </c>
      <c r="D76" s="1" t="str">
        <f t="shared" si="2"/>
        <v>4F西文書庫 4F Western Language Books</v>
      </c>
      <c r="E76" s="1" t="str">
        <f>("HC79.A4 T945 2001")</f>
        <v>HC79.A4 T945 2001</v>
      </c>
    </row>
    <row r="77" spans="2:9" x14ac:dyDescent="0.25">
      <c r="B77" s="1" t="str">
        <f>("W00002048")</f>
        <v>W00002048</v>
      </c>
      <c r="C77" s="1" t="str">
        <f>("War and underdevelopment /")</f>
        <v>War and underdevelopment /</v>
      </c>
      <c r="D77" s="1" t="str">
        <f t="shared" si="2"/>
        <v>4F西文書庫 4F Western Language Books</v>
      </c>
      <c r="E77" s="1" t="str">
        <f>("HC79.D4 S851 2001 v.1")</f>
        <v>HC79.D4 S851 2001 v.1</v>
      </c>
    </row>
    <row r="78" spans="2:9" x14ac:dyDescent="0.25">
      <c r="B78" s="1" t="str">
        <f>("W00002049")</f>
        <v>W00002049</v>
      </c>
      <c r="C78" s="1" t="str">
        <f>("War and underdevelopment /")</f>
        <v>War and underdevelopment /</v>
      </c>
      <c r="D78" s="1" t="str">
        <f t="shared" si="2"/>
        <v>4F西文書庫 4F Western Language Books</v>
      </c>
      <c r="E78" s="1" t="str">
        <f>("HC79.D4 S851 2001 v.2")</f>
        <v>HC79.D4 S851 2001 v.2</v>
      </c>
    </row>
    <row r="79" spans="2:9" x14ac:dyDescent="0.25">
      <c r="B79" s="1" t="str">
        <f>("W00003075")</f>
        <v>W00003075</v>
      </c>
      <c r="C79" s="1" t="str">
        <f>("Introduction to environmental economics /")</f>
        <v>Introduction to environmental economics /</v>
      </c>
      <c r="D79" s="1" t="str">
        <f t="shared" si="2"/>
        <v>4F西文書庫 4F Western Language Books</v>
      </c>
      <c r="E79" s="1" t="str">
        <f>("HC79.E5 H241 2001")</f>
        <v>HC79.E5 H241 2001</v>
      </c>
    </row>
    <row r="80" spans="2:9" x14ac:dyDescent="0.25">
      <c r="B80" s="1" t="str">
        <f>("W00002494")</f>
        <v>W00002494</v>
      </c>
      <c r="C80" s="1" t="str">
        <f>("Environmental and natural resource economics /")</f>
        <v>Environmental and natural resource economics /</v>
      </c>
      <c r="D80" s="1" t="str">
        <f t="shared" si="2"/>
        <v>4F西文書庫 4F Western Language Books</v>
      </c>
      <c r="E80" s="1" t="str">
        <f>("HC79.E5 T559-2 2000")</f>
        <v>HC79.E5 T559-2 2000</v>
      </c>
      <c r="G80" s="1" t="str">
        <f>("xxv, 630 p. :")</f>
        <v>xxv, 630 p. :</v>
      </c>
      <c r="H80" s="1" t="str">
        <f>("ill. ;")</f>
        <v>ill. ;</v>
      </c>
      <c r="I80" s="1" t="str">
        <f>("24 cm. ")</f>
        <v xml:space="preserve">24 cm. </v>
      </c>
    </row>
    <row r="81" spans="2:9" x14ac:dyDescent="0.25">
      <c r="B81" s="1" t="str">
        <f>("W00002095")</f>
        <v>W00002095</v>
      </c>
      <c r="C81" s="1" t="str">
        <f>("Blown to bits :how the new economics of information transforms strategy /")</f>
        <v>Blown to bits :how the new economics of information transforms strategy /</v>
      </c>
      <c r="D81" s="1" t="str">
        <f t="shared" si="2"/>
        <v>4F西文書庫 4F Western Language Books</v>
      </c>
      <c r="E81" s="1" t="str">
        <f>("HC79.I55 E92 1999")</f>
        <v>HC79.I55 E92 1999</v>
      </c>
    </row>
    <row r="82" spans="2:9" x14ac:dyDescent="0.25">
      <c r="B82" s="1" t="str">
        <f>("W00002057")</f>
        <v>W00002057</v>
      </c>
      <c r="C82" s="1" t="str">
        <f>("Creating value in the network economy /")</f>
        <v>Creating value in the network economy /</v>
      </c>
      <c r="D82" s="1" t="str">
        <f t="shared" si="2"/>
        <v>4F西文書庫 4F Western Language Books</v>
      </c>
      <c r="E82" s="1" t="str">
        <f>("HC79.I55 T172-2 1999")</f>
        <v>HC79.I55 T172-2 1999</v>
      </c>
      <c r="G82" s="1" t="str">
        <f>("xxvi, 229 p. :")</f>
        <v>xxvi, 229 p. :</v>
      </c>
      <c r="H82" s="1" t="str">
        <f>("ill. ;")</f>
        <v>ill. ;</v>
      </c>
      <c r="I82" s="1" t="str">
        <f>("25 cm.")</f>
        <v>25 cm.</v>
      </c>
    </row>
    <row r="83" spans="2:9" x14ac:dyDescent="0.25">
      <c r="B83" s="1" t="str">
        <f>("W00003121")</f>
        <v>W00003121</v>
      </c>
      <c r="C83" s="1" t="str">
        <f>("Technology and economic development :the dynamics of local, regional and national competitiveness /")</f>
        <v>Technology and economic development :the dynamics of local, regional and national competitiveness /</v>
      </c>
      <c r="D83" s="1" t="str">
        <f t="shared" si="2"/>
        <v>4F西文書庫 4F Western Language Books</v>
      </c>
      <c r="E83" s="1" t="str">
        <f>("HC79.T4 M245 1997")</f>
        <v>HC79.T4 M245 1997</v>
      </c>
    </row>
    <row r="84" spans="2:9" x14ac:dyDescent="0.25">
      <c r="B84" s="1" t="str">
        <f>("W00003065")</f>
        <v>W00003065</v>
      </c>
      <c r="C84" s="1" t="str">
        <f>("Resources, firms, and strategies :a reader in the resource-based perspective /")</f>
        <v>Resources, firms, and strategies :a reader in the resource-based perspective /</v>
      </c>
      <c r="D84" s="1" t="str">
        <f t="shared" si="2"/>
        <v>4F西文書庫 4F Western Language Books</v>
      </c>
      <c r="E84" s="1" t="str">
        <f>("HD2326 R434 1997")</f>
        <v>HD2326 R434 1997</v>
      </c>
    </row>
    <row r="85" spans="2:9" x14ac:dyDescent="0.25">
      <c r="B85" s="1" t="str">
        <f>("W00002452")</f>
        <v>W00002452</v>
      </c>
      <c r="C85" s="1" t="str">
        <f>("Global information technology outsourcing : in search of business advantage / ")</f>
        <v xml:space="preserve">Global information technology outsourcing : in search of business advantage / </v>
      </c>
      <c r="D85" s="1" t="str">
        <f t="shared" si="2"/>
        <v>4F西文書庫 4F Western Language Books</v>
      </c>
      <c r="E85" s="1" t="str">
        <f>("HD2365 L139 2001")</f>
        <v>HD2365 L139 2001</v>
      </c>
    </row>
    <row r="86" spans="2:9" x14ac:dyDescent="0.25">
      <c r="B86" s="1" t="str">
        <f>("W00003215")</f>
        <v>W00003215</v>
      </c>
      <c r="C86" s="1" t="str">
        <f>("Ownership and value creation :strategic corporate governance in the new economy /")</f>
        <v>Ownership and value creation :strategic corporate governance in the new economy /</v>
      </c>
      <c r="D86" s="1" t="str">
        <f t="shared" si="2"/>
        <v>4F西文書庫 4F Western Language Books</v>
      </c>
      <c r="E86" s="1" t="str">
        <f>("HD2741 C284 2001")</f>
        <v>HD2741 C284 2001</v>
      </c>
    </row>
    <row r="87" spans="2:9" x14ac:dyDescent="0.25">
      <c r="B87" s="1" t="str">
        <f>("W00002262")</f>
        <v>W00002262</v>
      </c>
      <c r="C87" s="1" t="str">
        <f>("Harvard business review on mergers and acquistions/")</f>
        <v>Harvard business review on mergers and acquistions/</v>
      </c>
      <c r="D87" s="1" t="str">
        <f t="shared" si="2"/>
        <v>4F西文書庫 4F Western Language Books</v>
      </c>
      <c r="E87" s="1" t="str">
        <f>("HD2745.6 H341 2001")</f>
        <v>HD2745.6 H341 2001</v>
      </c>
    </row>
    <row r="88" spans="2:9" x14ac:dyDescent="0.25">
      <c r="B88" s="1" t="str">
        <f>("W00002409")</f>
        <v>W00002409</v>
      </c>
      <c r="C88" s="1" t="str">
        <f>("Profit from the core :growth strategy in an era of turbulence /")</f>
        <v>Profit from the core :growth strategy in an era of turbulence /</v>
      </c>
      <c r="D88" s="1" t="str">
        <f t="shared" si="2"/>
        <v>4F西文書庫 4F Western Language Books</v>
      </c>
      <c r="E88" s="1" t="str">
        <f>("HD2746 Z83 2001")</f>
        <v>HD2746 Z83 2001</v>
      </c>
    </row>
    <row r="89" spans="2:9" x14ac:dyDescent="0.25">
      <c r="B89" s="1" t="str">
        <f>("W00002080")</f>
        <v>W00002080</v>
      </c>
      <c r="C89" s="1" t="str">
        <f>("The management of international acquisitions /")</f>
        <v>The management of international acquisitions /</v>
      </c>
      <c r="D89" s="1" t="str">
        <f t="shared" si="2"/>
        <v>4F西文書庫 4F Western Language Books</v>
      </c>
      <c r="E89" s="1" t="str">
        <f>("HD2746.5 C536 2001")</f>
        <v>HD2746.5 C536 2001</v>
      </c>
    </row>
    <row r="90" spans="2:9" x14ac:dyDescent="0.25">
      <c r="B90" s="1" t="str">
        <f>("W00002259")</f>
        <v>W00002259</v>
      </c>
      <c r="C90" s="1" t="str">
        <f>("Buyout :the insider's guide to buying your own company /")</f>
        <v>Buyout :the insider's guide to buying your own company /</v>
      </c>
      <c r="D90" s="1" t="str">
        <f t="shared" si="2"/>
        <v>4F西文書庫 4F Western Language Books</v>
      </c>
      <c r="E90" s="1" t="str">
        <f>("HD2746.5 R539 2001")</f>
        <v>HD2746.5 R539 2001</v>
      </c>
    </row>
    <row r="91" spans="2:9" x14ac:dyDescent="0.25">
      <c r="B91" s="1" t="str">
        <f>("W00002560")</f>
        <v>W00002560</v>
      </c>
      <c r="C91" s="1" t="str">
        <f>("International business : environments and operations / ")</f>
        <v xml:space="preserve">International business : environments and operations / </v>
      </c>
      <c r="D91" s="1" t="str">
        <f t="shared" si="2"/>
        <v>4F西文書庫 4F Western Language Books</v>
      </c>
      <c r="E91" s="1" t="str">
        <f>("HD2755.5 D186 1998")</f>
        <v>HD2755.5 D186 1998</v>
      </c>
    </row>
    <row r="92" spans="2:9" x14ac:dyDescent="0.25">
      <c r="B92" s="1" t="str">
        <f>("W00002137")</f>
        <v>W00002137</v>
      </c>
      <c r="C92" s="1" t="str">
        <f>("International business :global competition from a European perspective /")</f>
        <v>International business :global competition from a European perspective /</v>
      </c>
      <c r="D92" s="1" t="str">
        <f t="shared" si="2"/>
        <v>4F西文書庫 4F Western Language Books</v>
      </c>
      <c r="E92" s="1" t="str">
        <f>("HD2755.5 H318 2000")</f>
        <v>HD2755.5 H318 2000</v>
      </c>
    </row>
    <row r="93" spans="2:9" x14ac:dyDescent="0.25">
      <c r="B93" s="1" t="str">
        <f>("W00003080")</f>
        <v>W00003080</v>
      </c>
      <c r="C93" s="1" t="str">
        <f>("Harvard business review on strategies for growth.")</f>
        <v>Harvard business review on strategies for growth.</v>
      </c>
      <c r="D93" s="1" t="str">
        <f t="shared" si="2"/>
        <v>4F西文書庫 4F Western Language Books</v>
      </c>
      <c r="E93" s="1" t="str">
        <f>("HD2756 H339 1998")</f>
        <v>HD2756 H339 1998</v>
      </c>
    </row>
    <row r="94" spans="2:9" x14ac:dyDescent="0.25">
      <c r="B94" s="1" t="str">
        <f>("W00002107")</f>
        <v>W00002107</v>
      </c>
      <c r="C94" s="1" t="str">
        <f>("Corporate memory : strategies for knowledge management / ")</f>
        <v xml:space="preserve">Corporate memory : strategies for knowledge management / </v>
      </c>
      <c r="D94" s="1" t="str">
        <f t="shared" si="2"/>
        <v>4F西文書庫 4F Western Language Books</v>
      </c>
      <c r="E94" s="1" t="str">
        <f>("HD30.2 B871 1999")</f>
        <v>HD30.2 B871 1999</v>
      </c>
    </row>
    <row r="95" spans="2:9" x14ac:dyDescent="0.25">
      <c r="B95" s="1" t="str">
        <f>("W00003173")</f>
        <v>W00003173</v>
      </c>
      <c r="C95" s="1" t="str">
        <f>("The attention economy :understanding the new currency of business /")</f>
        <v>The attention economy :understanding the new currency of business /</v>
      </c>
      <c r="D95" s="1" t="str">
        <f t="shared" ref="D95:D126" si="3">("4F西文書庫 4F Western Language Books")</f>
        <v>4F西文書庫 4F Western Language Books</v>
      </c>
      <c r="E95" s="1" t="str">
        <f>("HD30.2 D247 2001")</f>
        <v>HD30.2 D247 2001</v>
      </c>
    </row>
    <row r="96" spans="2:9" x14ac:dyDescent="0.25">
      <c r="B96" s="1" t="str">
        <f>("W00003141")</f>
        <v>W00003141</v>
      </c>
      <c r="C96" s="1" t="str">
        <f>("The digital enterprise :how to reshape your business for a connected world /")</f>
        <v>The digital enterprise :how to reshape your business for a connected world /</v>
      </c>
      <c r="D96" s="1" t="str">
        <f t="shared" si="3"/>
        <v>4F西文書庫 4F Western Language Books</v>
      </c>
      <c r="E96" s="1" t="str">
        <f>("HD30.2 D574 2001")</f>
        <v>HD30.2 D574 2001</v>
      </c>
    </row>
    <row r="97" spans="2:9" x14ac:dyDescent="0.25">
      <c r="B97" s="1" t="str">
        <f>("W00002512")</f>
        <v>W00002512</v>
      </c>
      <c r="C97" s="1" t="str">
        <f>("The valuation of information technology :a guide for strategy development, valuation, and financial planning / ")</f>
        <v xml:space="preserve">The valuation of information technology :a guide for strategy development, valuation, and financial planning / </v>
      </c>
      <c r="D97" s="1" t="str">
        <f t="shared" si="3"/>
        <v>4F西文書庫 4F Western Language Books</v>
      </c>
      <c r="E97" s="1" t="str">
        <f>("HD30.2 G226 2000")</f>
        <v>HD30.2 G226 2000</v>
      </c>
      <c r="G97" s="1" t="str">
        <f>("xx, 297 p. :")</f>
        <v>xx, 297 p. :</v>
      </c>
      <c r="H97" s="1" t="str">
        <f>("ill. ;")</f>
        <v>ill. ;</v>
      </c>
      <c r="I97" s="1" t="str">
        <f>("24 cm ")</f>
        <v xml:space="preserve">24 cm </v>
      </c>
    </row>
    <row r="98" spans="2:9" x14ac:dyDescent="0.25">
      <c r="B98" s="1" t="str">
        <f>("W00002421")</f>
        <v>W00002421</v>
      </c>
      <c r="C98" s="1" t="str">
        <f>("Reaching for the knowledge edge :how the knowing corporation seeks, shares &amp; uses knowledge for strategic advantage /")</f>
        <v>Reaching for the knowledge edge :how the knowing corporation seeks, shares &amp; uses knowledge for strategic advantage /</v>
      </c>
      <c r="D98" s="1" t="str">
        <f t="shared" si="3"/>
        <v>4F西文書庫 4F Western Language Books</v>
      </c>
      <c r="E98" s="1" t="str">
        <f>("HD30.2 H366 2001")</f>
        <v>HD30.2 H366 2001</v>
      </c>
    </row>
    <row r="99" spans="2:9" x14ac:dyDescent="0.25">
      <c r="B99" s="1" t="str">
        <f>("W00003181")</f>
        <v>W00003181</v>
      </c>
      <c r="C99" s="1" t="str">
        <f>("Business process orientation :gaining the e-business competitive advantage /")</f>
        <v>Business process orientation :gaining the e-business competitive advantage /</v>
      </c>
      <c r="D99" s="1" t="str">
        <f t="shared" si="3"/>
        <v>4F西文書庫 4F Western Language Books</v>
      </c>
      <c r="E99" s="1" t="str">
        <f>("HD30.2 M131 2000")</f>
        <v>HD30.2 M131 2000</v>
      </c>
    </row>
    <row r="100" spans="2:9" x14ac:dyDescent="0.25">
      <c r="B100" s="1" t="str">
        <f>("W00002065")</f>
        <v>W00002065</v>
      </c>
      <c r="C100" s="1" t="str">
        <f>("Information for innovation :managing change from an information perspective /")</f>
        <v>Information for innovation :managing change from an information perspective /</v>
      </c>
      <c r="D100" s="1" t="str">
        <f t="shared" si="3"/>
        <v>4F西文書庫 4F Western Language Books</v>
      </c>
      <c r="E100" s="1" t="str">
        <f>("HD30.2 M135 1998")</f>
        <v>HD30.2 M135 1998</v>
      </c>
    </row>
    <row r="101" spans="2:9" x14ac:dyDescent="0.25">
      <c r="B101" s="1" t="str">
        <f>("W00003085")</f>
        <v>W00003085</v>
      </c>
      <c r="C101" s="1" t="str">
        <f>("Managing industrial knowledge :creation, transfer and Utilization /")</f>
        <v>Managing industrial knowledge :creation, transfer and Utilization /</v>
      </c>
      <c r="D101" s="1" t="str">
        <f t="shared" si="3"/>
        <v>4F西文書庫 4F Western Language Books</v>
      </c>
      <c r="E101" s="1" t="str">
        <f>("HD30.2 M266 2001")</f>
        <v>HD30.2 M266 2001</v>
      </c>
    </row>
    <row r="102" spans="2:9" x14ac:dyDescent="0.25">
      <c r="B102" s="1" t="str">
        <f>("W00003164")</f>
        <v>W00003164</v>
      </c>
      <c r="C102" s="1" t="str">
        <f>("Knowledge management :enabling business growth /")</f>
        <v>Knowledge management :enabling business growth /</v>
      </c>
      <c r="D102" s="1" t="str">
        <f t="shared" si="3"/>
        <v>4F西文書庫 4F Western Language Books</v>
      </c>
      <c r="E102" s="1" t="str">
        <f>("HD30.2 N273 2001")</f>
        <v>HD30.2 N273 2001</v>
      </c>
    </row>
    <row r="103" spans="2:9" x14ac:dyDescent="0.25">
      <c r="B103" s="1" t="str">
        <f>("W00002364")</f>
        <v>W00002364</v>
      </c>
      <c r="C103" s="1" t="str">
        <f>("The knowing-doing gap :how smart companies turn knowledge into action /")</f>
        <v>The knowing-doing gap :how smart companies turn knowledge into action /</v>
      </c>
      <c r="D103" s="1" t="str">
        <f t="shared" si="3"/>
        <v>4F西文書庫 4F Western Language Books</v>
      </c>
      <c r="E103" s="1" t="str">
        <f>("HD30.2 P524 1999")</f>
        <v>HD30.2 P524 1999</v>
      </c>
    </row>
    <row r="104" spans="2:9" x14ac:dyDescent="0.25">
      <c r="B104" s="1" t="str">
        <f>("W00002442")</f>
        <v>W00002442</v>
      </c>
      <c r="C104" s="1" t="str">
        <f>("Managing knowledge :building blocks for success /")</f>
        <v>Managing knowledge :building blocks for success /</v>
      </c>
      <c r="D104" s="1" t="str">
        <f t="shared" si="3"/>
        <v>4F西文書庫 4F Western Language Books</v>
      </c>
      <c r="E104" s="1" t="str">
        <f>("HD30.2 P962 2000")</f>
        <v>HD30.2 P962 2000</v>
      </c>
    </row>
    <row r="105" spans="2:9" x14ac:dyDescent="0.25">
      <c r="B105" s="1" t="str">
        <f>("W00003212")</f>
        <v>W00003212</v>
      </c>
      <c r="C105" s="1" t="str">
        <f>("Managing intellectual capital :organizational, strategic, and policy dimensions /")</f>
        <v>Managing intellectual capital :organizational, strategic, and policy dimensions /</v>
      </c>
      <c r="D105" s="1" t="str">
        <f t="shared" si="3"/>
        <v>4F西文書庫 4F Western Language Books</v>
      </c>
      <c r="E105" s="1" t="str">
        <f>("HD30.2 T258 2000")</f>
        <v>HD30.2 T258 2000</v>
      </c>
    </row>
    <row r="106" spans="2:9" x14ac:dyDescent="0.25">
      <c r="B106" s="1" t="str">
        <f>("W00002793")</f>
        <v>W00002793</v>
      </c>
      <c r="C106" s="1" t="str">
        <f>("The essential guide to knowledge management :e-business and CRM applications /")</f>
        <v>The essential guide to knowledge management :e-business and CRM applications /</v>
      </c>
      <c r="D106" s="1" t="str">
        <f t="shared" si="3"/>
        <v>4F西文書庫 4F Western Language Books</v>
      </c>
      <c r="E106" s="1" t="str">
        <f>("HD30.2 T551 2000")</f>
        <v>HD30.2 T551 2000</v>
      </c>
    </row>
    <row r="107" spans="2:9" x14ac:dyDescent="0.25">
      <c r="B107" s="1" t="str">
        <f>("W00003081")</f>
        <v>W00003081</v>
      </c>
      <c r="C107" s="1" t="str">
        <f>("Intelligent decision support methods :the science of knowledge work /")</f>
        <v>Intelligent decision support methods :the science of knowledge work /</v>
      </c>
      <c r="D107" s="1" t="str">
        <f t="shared" si="3"/>
        <v>4F西文書庫 4F Western Language Books</v>
      </c>
      <c r="E107" s="1" t="str">
        <f>("HD30.213 D533 1997")</f>
        <v>HD30.213 D533 1997</v>
      </c>
    </row>
    <row r="108" spans="2:9" x14ac:dyDescent="0.25">
      <c r="B108" s="1" t="str">
        <f>("W00002375")</f>
        <v>W00002375</v>
      </c>
      <c r="C108" s="1" t="str">
        <f>("Managing Corporate Reputations")</f>
        <v>Managing Corporate Reputations</v>
      </c>
      <c r="D108" s="1" t="str">
        <f t="shared" si="3"/>
        <v>4F西文書庫 4F Western Language Books</v>
      </c>
      <c r="E108" s="1" t="str">
        <f>("HD30.22 A193 2001")</f>
        <v>HD30.22 A193 2001</v>
      </c>
    </row>
    <row r="109" spans="2:9" x14ac:dyDescent="0.25">
      <c r="B109" s="1" t="str">
        <f>("W00002210")</f>
        <v>W00002210</v>
      </c>
      <c r="C109" s="1" t="str">
        <f>("Financially focused quality / ")</f>
        <v xml:space="preserve">Financially focused quality / </v>
      </c>
      <c r="D109" s="1" t="str">
        <f t="shared" si="3"/>
        <v>4F西文書庫 4F Western Language Books</v>
      </c>
      <c r="E109" s="1" t="str">
        <f>("HD30.22 C248 2000")</f>
        <v>HD30.22 C248 2000</v>
      </c>
    </row>
    <row r="110" spans="2:9" x14ac:dyDescent="0.25">
      <c r="B110" s="1" t="str">
        <f>("W00003159")</f>
        <v>W00003159</v>
      </c>
      <c r="C110" s="1" t="str">
        <f>("Harvard business review on decision making.")</f>
        <v>Harvard business review on decision making.</v>
      </c>
      <c r="D110" s="1" t="str">
        <f t="shared" si="3"/>
        <v>4F西文書庫 4F Western Language Books</v>
      </c>
      <c r="E110" s="1" t="str">
        <f>("HD30.23 H339 2001")</f>
        <v>HD30.23 H339 2001</v>
      </c>
    </row>
    <row r="111" spans="2:9" x14ac:dyDescent="0.25">
      <c r="B111" s="1" t="str">
        <f>("W00002092")</f>
        <v>W00002092</v>
      </c>
      <c r="C111" s="1" t="str">
        <f>("Strategic thinking for the next economy /")</f>
        <v>Strategic thinking for the next economy /</v>
      </c>
      <c r="D111" s="1" t="str">
        <f t="shared" si="3"/>
        <v>4F西文書庫 4F Western Language Books</v>
      </c>
      <c r="E111" s="1" t="str">
        <f>("HD30.23 S898 2001")</f>
        <v>HD30.23 S898 2001</v>
      </c>
    </row>
    <row r="112" spans="2:9" x14ac:dyDescent="0.25">
      <c r="B112" s="1" t="str">
        <f>("W00002353")</f>
        <v>W00002353</v>
      </c>
      <c r="C112" s="1" t="str">
        <f>("Wharton on making decisions : editors Stephen J. Hoch and Howard G. Kunreuther with Robert E. Gunther. ")</f>
        <v xml:space="preserve">Wharton on making decisions : editors Stephen J. Hoch and Howard G. Kunreuther with Robert E. Gunther. </v>
      </c>
      <c r="D112" s="1" t="str">
        <f t="shared" si="3"/>
        <v>4F西文書庫 4F Western Language Books</v>
      </c>
      <c r="E112" s="1" t="str">
        <f>("HD30.23 W554 2001")</f>
        <v>HD30.23 W554 2001</v>
      </c>
    </row>
    <row r="113" spans="2:9" x14ac:dyDescent="0.25">
      <c r="B113" s="1" t="str">
        <f>("W00002244")</f>
        <v>W00002244</v>
      </c>
      <c r="C113" s="1" t="str">
        <f>("Business forecasting /")</f>
        <v>Business forecasting /</v>
      </c>
      <c r="D113" s="1" t="str">
        <f t="shared" si="3"/>
        <v>4F西文書庫 4F Western Language Books</v>
      </c>
      <c r="E113" s="1" t="str">
        <f>("HD30.27 H241 1998")</f>
        <v>HD30.27 H241 1998</v>
      </c>
    </row>
    <row r="114" spans="2:9" x14ac:dyDescent="0.25">
      <c r="B114" s="1" t="str">
        <f>("W00003128")</f>
        <v>W00003128</v>
      </c>
      <c r="C114" s="1" t="str">
        <f>("Business forecasting /")</f>
        <v>Business forecasting /</v>
      </c>
      <c r="D114" s="1" t="str">
        <f t="shared" si="3"/>
        <v>4F西文書庫 4F Western Language Books</v>
      </c>
      <c r="E114" s="1" t="str">
        <f>("HD30.27 H241 1998")</f>
        <v>HD30.27 H241 1998</v>
      </c>
    </row>
    <row r="115" spans="2:9" x14ac:dyDescent="0.25">
      <c r="B115" s="1" t="str">
        <f>("W00002219")</f>
        <v>W00002219</v>
      </c>
      <c r="C115" s="1" t="str">
        <f>("The dream society : how the coming shift from information to imagination will transform your business / ")</f>
        <v xml:space="preserve">The dream society : how the coming shift from information to imagination will transform your business / </v>
      </c>
      <c r="D115" s="1" t="str">
        <f t="shared" si="3"/>
        <v>4F西文書庫 4F Western Language Books</v>
      </c>
      <c r="E115" s="1" t="str">
        <f>("HD30.27 J51 1999")</f>
        <v>HD30.27 J51 1999</v>
      </c>
    </row>
    <row r="116" spans="2:9" x14ac:dyDescent="0.25">
      <c r="B116" s="1" t="str">
        <f>("W00002067")</f>
        <v>W00002067</v>
      </c>
      <c r="C116" s="1" t="str">
        <f>("From needs assessment to action :transforming needs into solution strategies /")</f>
        <v>From needs assessment to action :transforming needs into solution strategies /</v>
      </c>
      <c r="D116" s="1" t="str">
        <f t="shared" si="3"/>
        <v>4F西文書庫 4F Western Language Books</v>
      </c>
      <c r="E116" s="1" t="str">
        <f>("HD30.28 A465 2000")</f>
        <v>HD30.28 A465 2000</v>
      </c>
    </row>
    <row r="117" spans="2:9" x14ac:dyDescent="0.25">
      <c r="B117" s="1" t="str">
        <f>("W00002492")</f>
        <v>W00002492</v>
      </c>
      <c r="C117" s="1" t="str">
        <f>("Strategic management :a managerial perspective /")</f>
        <v>Strategic management :a managerial perspective /</v>
      </c>
      <c r="D117" s="1" t="str">
        <f t="shared" si="3"/>
        <v>4F西文書庫 4F Western Language Books</v>
      </c>
      <c r="E117" s="1" t="str">
        <f>("HD30.28 B772 1999")</f>
        <v>HD30.28 B772 1999</v>
      </c>
      <c r="G117" s="1" t="str">
        <f>("1 v. (various pagings) :")</f>
        <v>1 v. (various pagings) :</v>
      </c>
      <c r="H117" s="1" t="str">
        <f>("ill. ;")</f>
        <v>ill. ;</v>
      </c>
      <c r="I117" s="1" t="str">
        <f>("26 cm ")</f>
        <v xml:space="preserve">26 cm </v>
      </c>
    </row>
    <row r="118" spans="2:9" x14ac:dyDescent="0.25">
      <c r="B118" s="1" t="str">
        <f>("W00002141")</f>
        <v>W00002141</v>
      </c>
      <c r="C118" s="1" t="str">
        <f>("World of risk : next generation strategy for a volatile era / ")</f>
        <v xml:space="preserve">World of risk : next generation strategy for a volatile era / </v>
      </c>
      <c r="D118" s="1" t="str">
        <f t="shared" si="3"/>
        <v>4F西文書庫 4F Western Language Books</v>
      </c>
      <c r="E118" s="1" t="str">
        <f>("HD30.28 D185 2000")</f>
        <v>HD30.28 D185 2000</v>
      </c>
    </row>
    <row r="119" spans="2:9" x14ac:dyDescent="0.25">
      <c r="B119" s="1" t="str">
        <f>("W00002504")</f>
        <v>W00002504</v>
      </c>
      <c r="C119" s="1" t="str">
        <f>("Strategy and the business landscape :text and cases /")</f>
        <v>Strategy and the business landscape :text and cases /</v>
      </c>
      <c r="D119" s="1" t="str">
        <f t="shared" si="3"/>
        <v>4F西文書庫 4F Western Language Books</v>
      </c>
      <c r="E119" s="1" t="str">
        <f>("HD30.28 G412 1999")</f>
        <v>HD30.28 G412 1999</v>
      </c>
      <c r="G119" s="1" t="str">
        <f>("1 v. (various pagings) :")</f>
        <v>1 v. (various pagings) :</v>
      </c>
      <c r="H119" s="1" t="str">
        <f>("ill. ;")</f>
        <v>ill. ;</v>
      </c>
      <c r="I119" s="1" t="str">
        <f>("25 cm ")</f>
        <v xml:space="preserve">25 cm </v>
      </c>
    </row>
    <row r="120" spans="2:9" x14ac:dyDescent="0.25">
      <c r="B120" s="1" t="str">
        <f>("W00002379")</f>
        <v>W00002379</v>
      </c>
      <c r="C120" s="1" t="str">
        <f>("Online business planning : how to create a better business plan using the Internet, including a complete, up-to-date resource guide / ")</f>
        <v xml:space="preserve">Online business planning : how to create a better business plan using the Internet, including a complete, up-to-date resource guide / </v>
      </c>
      <c r="D120" s="1" t="str">
        <f t="shared" si="3"/>
        <v>4F西文書庫 4F Western Language Books</v>
      </c>
      <c r="E120" s="1" t="str">
        <f>("HD30.28 G671 1999")</f>
        <v>HD30.28 G671 1999</v>
      </c>
    </row>
    <row r="121" spans="2:9" x14ac:dyDescent="0.25">
      <c r="B121" s="1" t="str">
        <f>("W00003158")</f>
        <v>W00003158</v>
      </c>
      <c r="C121" s="1" t="str">
        <f>("Harvard business review on managing uncertainty.")</f>
        <v>Harvard business review on managing uncertainty.</v>
      </c>
      <c r="D121" s="1" t="str">
        <f t="shared" si="3"/>
        <v>4F西文書庫 4F Western Language Books</v>
      </c>
      <c r="E121" s="1" t="str">
        <f>("HD30.28 H339 1999")</f>
        <v>HD30.28 H339 1999</v>
      </c>
    </row>
    <row r="122" spans="2:9" x14ac:dyDescent="0.25">
      <c r="B122" s="1" t="str">
        <f>("W00003197")</f>
        <v>W00003197</v>
      </c>
      <c r="C122" s="1" t="str">
        <f>("The strategy-focused organization :how balanced scorecard companies thrive in the new business environment /")</f>
        <v>The strategy-focused organization :how balanced scorecard companies thrive in the new business environment /</v>
      </c>
      <c r="D122" s="1" t="str">
        <f t="shared" si="3"/>
        <v>4F西文書庫 4F Western Language Books</v>
      </c>
      <c r="E122" s="1" t="str">
        <f>("HD30.28 K17 2001")</f>
        <v>HD30.28 K17 2001</v>
      </c>
      <c r="G122" s="1" t="str">
        <f>("x, 400 p. :")</f>
        <v>x, 400 p. :</v>
      </c>
      <c r="H122" s="1" t="str">
        <f>("ill. ;")</f>
        <v>ill. ;</v>
      </c>
      <c r="I122" s="1" t="str">
        <f>("24 cm.")</f>
        <v>24 cm.</v>
      </c>
    </row>
    <row r="123" spans="2:9" x14ac:dyDescent="0.25">
      <c r="B123" s="1" t="str">
        <f>("W00002954")</f>
        <v>W00002954</v>
      </c>
      <c r="C123" s="1" t="str">
        <f>("The eProcess edge :creating customer value and business wealth in the Internet era /")</f>
        <v>The eProcess edge :creating customer value and business wealth in the Internet era /</v>
      </c>
      <c r="D123" s="1" t="str">
        <f t="shared" si="3"/>
        <v>4F西文書庫 4F Western Language Books</v>
      </c>
      <c r="E123" s="1" t="str">
        <f>("HD30.28 K26 2000")</f>
        <v>HD30.28 K26 2000</v>
      </c>
    </row>
    <row r="124" spans="2:9" x14ac:dyDescent="0.25">
      <c r="B124" s="1" t="str">
        <f>("W00002456")</f>
        <v>W00002456</v>
      </c>
      <c r="C124" s="1" t="str">
        <f>("From the trenches :strategies from industry leaders on the new e-conomy /")</f>
        <v>From the trenches :strategies from industry leaders on the new e-conomy /</v>
      </c>
      <c r="D124" s="1" t="str">
        <f t="shared" si="3"/>
        <v>4F西文書庫 4F Western Language Books</v>
      </c>
      <c r="E124" s="1" t="str">
        <f>("HD30.28 K29 2001")</f>
        <v>HD30.28 K29 2001</v>
      </c>
    </row>
    <row r="125" spans="2:9" x14ac:dyDescent="0.25">
      <c r="B125" s="1" t="str">
        <f>("W00003078")</f>
        <v>W00003078</v>
      </c>
      <c r="C125" s="1" t="str">
        <f>("The Financial Times guide to strategy :how to create and deliver a useful strategy /")</f>
        <v>The Financial Times guide to strategy :how to create and deliver a useful strategy /</v>
      </c>
      <c r="D125" s="1" t="str">
        <f t="shared" si="3"/>
        <v>4F西文書庫 4F Western Language Books</v>
      </c>
      <c r="E125" s="1" t="str">
        <f>("HD30.28 K76 2000")</f>
        <v>HD30.28 K76 2000</v>
      </c>
    </row>
    <row r="126" spans="2:9" x14ac:dyDescent="0.25">
      <c r="B126" s="1" t="str">
        <f>("W00002362")</f>
        <v>W00002362</v>
      </c>
      <c r="C126" s="1" t="str">
        <f>("Strategic management : process, content and implementation / ")</f>
        <v xml:space="preserve">Strategic management : process, content and implementation / </v>
      </c>
      <c r="D126" s="1" t="str">
        <f t="shared" si="3"/>
        <v>4F西文書庫 4F Western Language Books</v>
      </c>
      <c r="E126" s="1" t="str">
        <f>("HD30.28 M167 2000")</f>
        <v>HD30.28 M167 2000</v>
      </c>
    </row>
    <row r="127" spans="2:9" x14ac:dyDescent="0.25">
      <c r="B127" s="1" t="str">
        <f>("W00003148")</f>
        <v>W00003148</v>
      </c>
      <c r="C127" s="1" t="str">
        <f>("The appraisal check list :how to help your team get the results you both want /")</f>
        <v>The appraisal check list :how to help your team get the results you both want /</v>
      </c>
      <c r="D127" s="1" t="str">
        <f t="shared" ref="D127:D139" si="4">("4F西文書庫 4F Western Language Books")</f>
        <v>4F西文書庫 4F Western Language Books</v>
      </c>
      <c r="E127" s="1" t="str">
        <f>("HD30.285 W336 2000")</f>
        <v>HD30.285 W336 2000</v>
      </c>
    </row>
    <row r="128" spans="2:9" x14ac:dyDescent="0.25">
      <c r="B128" s="1" t="str">
        <f>("W00003094")</f>
        <v>W00003094</v>
      </c>
      <c r="C128" s="1" t="str">
        <f>("The power of innovative thinking :let new ideas lead you to success /")</f>
        <v>The power of innovative thinking :let new ideas lead you to success /</v>
      </c>
      <c r="D128" s="1" t="str">
        <f t="shared" si="4"/>
        <v>4F西文書庫 4F Western Language Books</v>
      </c>
      <c r="E128" s="1" t="str">
        <f>("HD30.29 W563 1998")</f>
        <v>HD30.29 W563 1998</v>
      </c>
    </row>
    <row r="129" spans="2:9" x14ac:dyDescent="0.25">
      <c r="B129" s="1" t="str">
        <f>("W00003102")</f>
        <v>W00003102</v>
      </c>
      <c r="C129" s="1" t="str">
        <f>("Communicating effectively /")</f>
        <v>Communicating effectively /</v>
      </c>
      <c r="D129" s="1" t="str">
        <f t="shared" si="4"/>
        <v>4F西文書庫 4F Western Language Books</v>
      </c>
      <c r="E129" s="1" t="str">
        <f>("HD30.3 A774 2000")</f>
        <v>HD30.3 A774 2000</v>
      </c>
    </row>
    <row r="130" spans="2:9" x14ac:dyDescent="0.25">
      <c r="B130" s="1" t="str">
        <f>("W00003213")</f>
        <v>W00003213</v>
      </c>
      <c r="C130" s="1" t="str">
        <f>("Managing interactively :executing business strategy, improving communication, and creating a knowledge-sharing culture /")</f>
        <v>Managing interactively :executing business strategy, improving communication, and creating a knowledge-sharing culture /</v>
      </c>
      <c r="D130" s="1" t="str">
        <f t="shared" si="4"/>
        <v>4F西文書庫 4F Western Language Books</v>
      </c>
      <c r="E130" s="1" t="str">
        <f>("HD30.3 B724 2001")</f>
        <v>HD30.3 B724 2001</v>
      </c>
    </row>
    <row r="131" spans="2:9" x14ac:dyDescent="0.25">
      <c r="B131" s="1" t="str">
        <f>("W00003211")</f>
        <v>W00003211</v>
      </c>
      <c r="C131" s="1" t="str">
        <f>("Information orientation :the new business performance metric /")</f>
        <v>Information orientation :the new business performance metric /</v>
      </c>
      <c r="D131" s="1" t="str">
        <f t="shared" si="4"/>
        <v>4F西文書庫 4F Western Language Books</v>
      </c>
      <c r="E131" s="1" t="str">
        <f>("HD30.3 M315 2001")</f>
        <v>HD30.3 M315 2001</v>
      </c>
    </row>
    <row r="132" spans="2:9" x14ac:dyDescent="0.25">
      <c r="B132" s="1" t="str">
        <f>("W00003196")</f>
        <v>W00003196</v>
      </c>
      <c r="C132" s="1" t="str">
        <f>("The power of indirect influence /")</f>
        <v>The power of indirect influence /</v>
      </c>
      <c r="D132" s="1" t="str">
        <f t="shared" si="4"/>
        <v>4F西文書庫 4F Western Language Books</v>
      </c>
      <c r="E132" s="1" t="str">
        <f>("HD30.3 T588 2001")</f>
        <v>HD30.3 T588 2001</v>
      </c>
    </row>
    <row r="133" spans="2:9" x14ac:dyDescent="0.25">
      <c r="B133" s="1" t="str">
        <f>("W00002397")</f>
        <v>W00002397</v>
      </c>
      <c r="C133" s="1" t="str">
        <f>("XML ")</f>
        <v xml:space="preserve">XML </v>
      </c>
      <c r="D133" s="1" t="str">
        <f t="shared" si="4"/>
        <v>4F西文書庫 4F Western Language Books</v>
      </c>
      <c r="E133" s="1" t="str">
        <f>("HD30.37 S594 2001")</f>
        <v>HD30.37 S594 2001</v>
      </c>
    </row>
    <row r="134" spans="2:9" x14ac:dyDescent="0.25">
      <c r="B134" s="1" t="str">
        <f>("W00002215")</f>
        <v>W00002215</v>
      </c>
      <c r="C134" s="1" t="str">
        <f>("Doing critical management research / ")</f>
        <v xml:space="preserve">Doing critical management research / </v>
      </c>
      <c r="D134" s="1" t="str">
        <f t="shared" si="4"/>
        <v>4F西文書庫 4F Western Language Books</v>
      </c>
      <c r="E134" s="1" t="str">
        <f>("HD30.4 A474 2000")</f>
        <v>HD30.4 A474 2000</v>
      </c>
    </row>
    <row r="135" spans="2:9" x14ac:dyDescent="0.25">
      <c r="B135" s="1" t="str">
        <f>("W00003168")</f>
        <v>W00003168</v>
      </c>
      <c r="C135" s="1" t="str">
        <f>("Narrative methods for organizational and communication research /")</f>
        <v>Narrative methods for organizational and communication research /</v>
      </c>
      <c r="D135" s="1" t="str">
        <f t="shared" si="4"/>
        <v>4F西文書庫 4F Western Language Books</v>
      </c>
      <c r="E135" s="1" t="str">
        <f>("HD30.4 B685 2001")</f>
        <v>HD30.4 B685 2001</v>
      </c>
    </row>
    <row r="136" spans="2:9" x14ac:dyDescent="0.25">
      <c r="B136" s="1" t="str">
        <f>("W00002958")</f>
        <v>W00002958</v>
      </c>
      <c r="C136" s="1" t="str">
        <f>("Business research for decision making / ")</f>
        <v xml:space="preserve">Business research for decision making / </v>
      </c>
      <c r="D136" s="1" t="str">
        <f t="shared" si="4"/>
        <v>4F西文書庫 4F Western Language Books</v>
      </c>
      <c r="E136" s="1" t="str">
        <f>("HD30.4 D261-3 1999")</f>
        <v>HD30.4 D261-3 1999</v>
      </c>
    </row>
    <row r="137" spans="2:9" x14ac:dyDescent="0.25">
      <c r="B137" s="1" t="str">
        <f>("W00002121")</f>
        <v>W00002121</v>
      </c>
      <c r="C137" s="1" t="str">
        <f>("Qualitative methods in management research /")</f>
        <v>Qualitative methods in management research /</v>
      </c>
      <c r="D137" s="1" t="str">
        <f t="shared" si="4"/>
        <v>4F西文書庫 4F Western Language Books</v>
      </c>
      <c r="E137" s="1" t="str">
        <f>("HD30.4 G974 2000")</f>
        <v>HD30.4 G974 2000</v>
      </c>
    </row>
    <row r="138" spans="2:9" x14ac:dyDescent="0.25">
      <c r="B138" s="1" t="str">
        <f>("W00002130")</f>
        <v>W00002130</v>
      </c>
      <c r="C138" s="1" t="str">
        <f>("Management projects")</f>
        <v>Management projects</v>
      </c>
      <c r="D138" s="1" t="str">
        <f t="shared" si="4"/>
        <v>4F西文書庫 4F Western Language Books</v>
      </c>
      <c r="E138" s="1" t="str">
        <f>("HD30.4 N632 1997")</f>
        <v>HD30.4 N632 1997</v>
      </c>
    </row>
    <row r="139" spans="2:9" x14ac:dyDescent="0.25">
      <c r="B139" s="1" t="str">
        <f>("W00002143")</f>
        <v>W00002143</v>
      </c>
      <c r="C139" s="1" t="str">
        <f>("Doing management research: a comprehensive guide / ")</f>
        <v xml:space="preserve">Doing management research: a comprehensive guide / </v>
      </c>
      <c r="D139" s="1" t="str">
        <f t="shared" si="4"/>
        <v>4F西文書庫 4F Western Language Books</v>
      </c>
      <c r="E139" s="1" t="str">
        <f>("HD30.4 T428 1999")</f>
        <v>HD30.4 T428 1999</v>
      </c>
    </row>
    <row r="140" spans="2:9" x14ac:dyDescent="0.25">
      <c r="B140" s="1" t="str">
        <f>("W00002567")</f>
        <v>W00002567</v>
      </c>
      <c r="C140" s="1" t="str">
        <f>("Business research methods /")</f>
        <v>Business research methods /</v>
      </c>
      <c r="D140" s="1" t="str">
        <f>("罕用書庫1-洽櫃台填單 Upon-Request Collection1 fil")</f>
        <v>罕用書庫1-洽櫃台填單 Upon-Request Collection1 fil</v>
      </c>
      <c r="E140" s="1" t="str">
        <f>("HD30.4 Z64 2000 c.2")</f>
        <v>HD30.4 Z64 2000 c.2</v>
      </c>
      <c r="G140" s="1" t="str">
        <f>("xxix, 660, [46] p. :")</f>
        <v>xxix, 660, [46] p. :</v>
      </c>
      <c r="H140" s="1" t="str">
        <f>("ill.;")</f>
        <v>ill.;</v>
      </c>
      <c r="I140" s="1" t="str">
        <f>("26 cm.")</f>
        <v>26 cm.</v>
      </c>
    </row>
    <row r="141" spans="2:9" x14ac:dyDescent="0.25">
      <c r="B141" s="1" t="str">
        <f>("W00002112")</f>
        <v>W00002112</v>
      </c>
      <c r="C141" s="1" t="str">
        <f>("Accounting and finance for your small business / ")</f>
        <v xml:space="preserve">Accounting and finance for your small business / </v>
      </c>
      <c r="D141" s="1" t="str">
        <f t="shared" ref="D141:D164" si="5">("4F西文書庫 4F Western Language Books")</f>
        <v>4F西文書庫 4F Western Language Books</v>
      </c>
      <c r="E141" s="1" t="str">
        <f>("HD31 B974 2001")</f>
        <v>HD31 B974 2001</v>
      </c>
    </row>
    <row r="142" spans="2:9" x14ac:dyDescent="0.25">
      <c r="B142" s="1" t="str">
        <f>("W00002385")</f>
        <v>W00002385</v>
      </c>
      <c r="C142" s="1" t="str">
        <f>("The Management and ehics omnibus ")</f>
        <v xml:space="preserve">The Management and ehics omnibus </v>
      </c>
      <c r="D142" s="1" t="str">
        <f t="shared" si="5"/>
        <v>4F西文書庫 4F Western Language Books</v>
      </c>
      <c r="E142" s="1" t="str">
        <f>("HD31 C427 2001")</f>
        <v>HD31 C427 2001</v>
      </c>
    </row>
    <row r="143" spans="2:9" x14ac:dyDescent="0.25">
      <c r="B143" s="1" t="str">
        <f>("W00003062")</f>
        <v>W00003062</v>
      </c>
      <c r="C143" s="1" t="str">
        <f>("Management 21C :someday we'll all manage this way /")</f>
        <v>Management 21C :someday we'll all manage this way /</v>
      </c>
      <c r="D143" s="1" t="str">
        <f t="shared" si="5"/>
        <v>4F西文書庫 4F Western Language Books</v>
      </c>
      <c r="E143" s="1" t="str">
        <f>("HD31 C552 2000")</f>
        <v>HD31 C552 2000</v>
      </c>
    </row>
    <row r="144" spans="2:9" x14ac:dyDescent="0.25">
      <c r="B144" s="1" t="str">
        <f>("W00002475")</f>
        <v>W00002475</v>
      </c>
      <c r="C144" s="1" t="str">
        <f>("Program assessment/ ")</f>
        <v xml:space="preserve">Program assessment/ </v>
      </c>
      <c r="D144" s="1" t="str">
        <f t="shared" si="5"/>
        <v>4F西文書庫 4F Western Language Books</v>
      </c>
      <c r="E144" s="1" t="str">
        <f>("HD31 C641 1998")</f>
        <v>HD31 C641 1998</v>
      </c>
    </row>
    <row r="145" spans="2:9" x14ac:dyDescent="0.25">
      <c r="B145" s="1" t="str">
        <f>("W00002565")</f>
        <v>W00002565</v>
      </c>
      <c r="C145" s="1" t="str">
        <f>("Organization theory and design / ")</f>
        <v xml:space="preserve">Organization theory and design / </v>
      </c>
      <c r="D145" s="1" t="str">
        <f t="shared" si="5"/>
        <v>4F西文書庫 4F Western Language Books</v>
      </c>
      <c r="E145" s="1" t="str">
        <f>("HD31 D124-2 1998")</f>
        <v>HD31 D124-2 1998</v>
      </c>
      <c r="G145" s="1" t="str">
        <f>("xiv, 701 p. : ")</f>
        <v xml:space="preserve">xiv, 701 p. : </v>
      </c>
      <c r="H145" s="1" t="str">
        <f>("col. ill. ; ")</f>
        <v xml:space="preserve">col. ill. ; </v>
      </c>
      <c r="I145" s="1" t="str">
        <f>("26 cm. ")</f>
        <v xml:space="preserve">26 cm. </v>
      </c>
    </row>
    <row r="146" spans="2:9" x14ac:dyDescent="0.25">
      <c r="B146" s="1" t="str">
        <f>("W00002519")</f>
        <v>W00002519</v>
      </c>
      <c r="C146" s="1" t="str">
        <f>("Organization theory and design / ")</f>
        <v xml:space="preserve">Organization theory and design / </v>
      </c>
      <c r="D146" s="1" t="str">
        <f t="shared" si="5"/>
        <v>4F西文書庫 4F Western Language Books</v>
      </c>
      <c r="E146" s="1" t="str">
        <f>("HD31 D124-3 2001 c.3")</f>
        <v>HD31 D124-3 2001 c.3</v>
      </c>
    </row>
    <row r="147" spans="2:9" x14ac:dyDescent="0.25">
      <c r="B147" s="1" t="str">
        <f>("W00002360")</f>
        <v>W00002360</v>
      </c>
      <c r="C147" s="1" t="str">
        <f>("Management Challenges for the 21st century")</f>
        <v>Management Challenges for the 21st century</v>
      </c>
      <c r="D147" s="1" t="str">
        <f t="shared" si="5"/>
        <v>4F西文書庫 4F Western Language Books</v>
      </c>
      <c r="E147" s="1" t="str">
        <f>("HD31 D794 1999")</f>
        <v>HD31 D794 1999</v>
      </c>
    </row>
    <row r="148" spans="2:9" x14ac:dyDescent="0.25">
      <c r="B148" s="1" t="str">
        <f>("W00002103")</f>
        <v>W00002103</v>
      </c>
      <c r="C148" s="1" t="str">
        <f>("Peter Drucker :shaping the managerial mind /")</f>
        <v>Peter Drucker :shaping the managerial mind /</v>
      </c>
      <c r="D148" s="1" t="str">
        <f t="shared" si="5"/>
        <v>4F西文書庫 4F Western Language Books</v>
      </c>
      <c r="E148" s="1" t="str">
        <f>("HD31 F575 1999")</f>
        <v>HD31 F575 1999</v>
      </c>
    </row>
    <row r="149" spans="2:9" x14ac:dyDescent="0.25">
      <c r="B149" s="1" t="str">
        <f>("W00003217")</f>
        <v>W00003217</v>
      </c>
      <c r="C149" s="1" t="str">
        <f>("The innovating organization /")</f>
        <v>The innovating organization /</v>
      </c>
      <c r="D149" s="1" t="str">
        <f t="shared" si="5"/>
        <v>4F西文書庫 4F Western Language Books</v>
      </c>
      <c r="E149" s="1" t="str">
        <f>("HD31 I58 2000")</f>
        <v>HD31 I58 2000</v>
      </c>
    </row>
    <row r="150" spans="2:9" x14ac:dyDescent="0.25">
      <c r="B150" s="1" t="str">
        <f>("W00002145")</f>
        <v>W00002145</v>
      </c>
      <c r="C150" s="1" t="str">
        <f>("The seven deadly skills of management/ ")</f>
        <v xml:space="preserve">The seven deadly skills of management/ </v>
      </c>
      <c r="D150" s="1" t="str">
        <f t="shared" si="5"/>
        <v>4F西文書庫 4F Western Language Books</v>
      </c>
      <c r="E150" s="1" t="str">
        <f>("HD31 J42 1999")</f>
        <v>HD31 J42 1999</v>
      </c>
    </row>
    <row r="151" spans="2:9" x14ac:dyDescent="0.25">
      <c r="B151" s="1" t="str">
        <f>("W00003163")</f>
        <v>W00003163</v>
      </c>
      <c r="C151" s="1" t="str">
        <f>("Introducing management :a development guide for new managers /")</f>
        <v>Introducing management :a development guide for new managers /</v>
      </c>
      <c r="D151" s="1" t="str">
        <f t="shared" si="5"/>
        <v>4F西文書庫 4F Western Language Books</v>
      </c>
      <c r="E151" s="1" t="str">
        <f>("HD31 J66 1999")</f>
        <v>HD31 J66 1999</v>
      </c>
    </row>
    <row r="152" spans="2:9" x14ac:dyDescent="0.25">
      <c r="B152" s="1" t="str">
        <f>("W00002578")</f>
        <v>W00002578</v>
      </c>
      <c r="C152" s="1" t="str">
        <f>("Introduction to business /")</f>
        <v>Introduction to business /</v>
      </c>
      <c r="D152" s="1" t="str">
        <f t="shared" si="5"/>
        <v>4F西文書庫 4F Western Language Books</v>
      </c>
      <c r="E152" s="1" t="str">
        <f>("HD31 M179 1998")</f>
        <v>HD31 M179 1998</v>
      </c>
    </row>
    <row r="153" spans="2:9" x14ac:dyDescent="0.25">
      <c r="B153" s="1" t="str">
        <f>("W00003084")</f>
        <v>W00003084</v>
      </c>
      <c r="C153" s="1" t="str">
        <f>("The manager's book of checklists :a practical guide to improving your managerial skills /")</f>
        <v>The manager's book of checklists :a practical guide to improving your managerial skills /</v>
      </c>
      <c r="D153" s="1" t="str">
        <f t="shared" si="5"/>
        <v>4F西文書庫 4F Western Language Books</v>
      </c>
      <c r="E153" s="1" t="str">
        <f>("HD31 P889 2000")</f>
        <v>HD31 P889 2000</v>
      </c>
    </row>
    <row r="154" spans="2:9" x14ac:dyDescent="0.25">
      <c r="B154" s="1" t="str">
        <f>("W00003068")</f>
        <v>W00003068</v>
      </c>
      <c r="C154" s="1" t="str">
        <f>("The reality of management /")</f>
        <v>The reality of management /</v>
      </c>
      <c r="D154" s="1" t="str">
        <f t="shared" si="5"/>
        <v>4F西文書庫 4F Western Language Books</v>
      </c>
      <c r="E154" s="1" t="str">
        <f>("HD31 S851 1999")</f>
        <v>HD31 S851 1999</v>
      </c>
    </row>
    <row r="155" spans="2:9" x14ac:dyDescent="0.25">
      <c r="B155" s="1" t="str">
        <f>("W00002286")</f>
        <v>W00002286</v>
      </c>
      <c r="C155" s="1" t="str">
        <f>("The 36 strategies of the Chinese(三十六計): adapting ancient chinese wisdom to the business world/ ")</f>
        <v xml:space="preserve">The 36 strategies of the Chinese(三十六計): adapting ancient chinese wisdom to the business world/ </v>
      </c>
      <c r="D155" s="1" t="str">
        <f t="shared" si="5"/>
        <v>4F西文書庫 4F Western Language Books</v>
      </c>
      <c r="E155" s="1" t="str">
        <f>("HD31 W394 1998")</f>
        <v>HD31 W394 1998</v>
      </c>
    </row>
    <row r="156" spans="2:9" x14ac:dyDescent="0.25">
      <c r="B156" s="1" t="str">
        <f>("W00002331")</f>
        <v>W00002331</v>
      </c>
      <c r="C156" s="1" t="str">
        <f>("Project Management")</f>
        <v>Project Management</v>
      </c>
      <c r="D156" s="1" t="str">
        <f t="shared" si="5"/>
        <v>4F西文書庫 4F Western Language Books</v>
      </c>
      <c r="E156" s="1" t="str">
        <f>("HD38 R163 2000")</f>
        <v>HD38 R163 2000</v>
      </c>
    </row>
    <row r="157" spans="2:9" x14ac:dyDescent="0.25">
      <c r="B157" s="1" t="str">
        <f>("W00003222")</f>
        <v>W00003222</v>
      </c>
      <c r="C157" s="1" t="str">
        <f>("In search of management :culture, chaos and control in managerial work /")</f>
        <v>In search of management :culture, chaos and control in managerial work /</v>
      </c>
      <c r="D157" s="1" t="str">
        <f t="shared" si="5"/>
        <v>4F西文書庫 4F Western Language Books</v>
      </c>
      <c r="E157" s="1" t="str">
        <f>("HD38 W342 2001")</f>
        <v>HD38 W342 2001</v>
      </c>
    </row>
    <row r="158" spans="2:9" x14ac:dyDescent="0.25">
      <c r="B158" s="1" t="str">
        <f>("W00003161")</f>
        <v>W00003161</v>
      </c>
      <c r="C158" s="1" t="str">
        <f>("How to act like a CEO :10 rules for getting to the top and staying there ")</f>
        <v xml:space="preserve">How to act like a CEO :10 rules for getting to the top and staying there </v>
      </c>
      <c r="D158" s="1" t="str">
        <f t="shared" si="5"/>
        <v>4F西文書庫 4F Western Language Books</v>
      </c>
      <c r="E158" s="1" t="str">
        <f>("HD38.2 B478 2001")</f>
        <v>HD38.2 B478 2001</v>
      </c>
    </row>
    <row r="159" spans="2:9" x14ac:dyDescent="0.25">
      <c r="B159" s="1" t="str">
        <f>("W00002272")</f>
        <v>W00002272</v>
      </c>
      <c r="C159" s="1" t="str">
        <f>("Harvard business review interviews with CEOs. ")</f>
        <v xml:space="preserve">Harvard business review interviews with CEOs. </v>
      </c>
      <c r="D159" s="1" t="str">
        <f t="shared" si="5"/>
        <v>4F西文書庫 4F Western Language Books</v>
      </c>
      <c r="E159" s="1" t="str">
        <f>("HD38.2 H341 2000")</f>
        <v>HD38.2 H341 2000</v>
      </c>
    </row>
    <row r="160" spans="2:9" x14ac:dyDescent="0.25">
      <c r="B160" s="1" t="str">
        <f>("W00003179")</f>
        <v>W00003179</v>
      </c>
      <c r="C160" s="1" t="str">
        <f>("Asian business wisdom :lessons from the region's best and brightest business leaders /")</f>
        <v>Asian business wisdom :lessons from the region's best and brightest business leaders /</v>
      </c>
      <c r="D160" s="1" t="str">
        <f t="shared" si="5"/>
        <v>4F西文書庫 4F Western Language Books</v>
      </c>
      <c r="E160" s="1" t="str">
        <f>("HD38.25.A78 A832 2000")</f>
        <v>HD38.25.A78 A832 2000</v>
      </c>
    </row>
    <row r="161" spans="2:9" x14ac:dyDescent="0.25">
      <c r="B161" s="1" t="str">
        <f>("W00002522")</f>
        <v>W00002522</v>
      </c>
      <c r="C161" s="1" t="str">
        <f>("Global operations and logistics : text and cases / ")</f>
        <v xml:space="preserve">Global operations and logistics : text and cases / </v>
      </c>
      <c r="D161" s="1" t="str">
        <f t="shared" si="5"/>
        <v>4F西文書庫 4F Western Language Books</v>
      </c>
      <c r="E161" s="1" t="str">
        <f>("HD38.5 D674 1998")</f>
        <v>HD38.5 D674 1998</v>
      </c>
    </row>
    <row r="162" spans="2:9" x14ac:dyDescent="0.25">
      <c r="B162" s="1" t="str">
        <f>("W00003046")</f>
        <v>W00003046</v>
      </c>
      <c r="C162" s="1" t="str">
        <f>("Basics of supply chain management /")</f>
        <v>Basics of supply chain management /</v>
      </c>
      <c r="D162" s="1" t="str">
        <f t="shared" si="5"/>
        <v>4F西文書庫 4F Western Language Books</v>
      </c>
      <c r="E162" s="1" t="str">
        <f>("HD38.5 F852 2001")</f>
        <v>HD38.5 F852 2001</v>
      </c>
    </row>
    <row r="163" spans="2:9" x14ac:dyDescent="0.25">
      <c r="B163" s="1" t="str">
        <f>("W00002369")</f>
        <v>W00002369</v>
      </c>
      <c r="C163" s="1" t="str">
        <f>("Corporate portals : revolutionizing information access to increase productivity and drive the bottom line / ")</f>
        <v xml:space="preserve">Corporate portals : revolutionizing information access to increase productivity and drive the bottom line / </v>
      </c>
      <c r="D163" s="1" t="str">
        <f t="shared" si="5"/>
        <v>4F西文書庫 4F Western Language Books</v>
      </c>
      <c r="E163" s="1" t="str">
        <f>("HD39.285 C699 2001")</f>
        <v>HD39.285 C699 2001</v>
      </c>
    </row>
    <row r="164" spans="2:9" x14ac:dyDescent="0.25">
      <c r="B164" s="1" t="str">
        <f>("W00002454")</f>
        <v>W00002454</v>
      </c>
      <c r="C164" s="1" t="str">
        <f>("Connected :a global approach to managing complexity /")</f>
        <v>Connected :a global approach to managing complexity /</v>
      </c>
      <c r="D164" s="1" t="str">
        <f t="shared" si="5"/>
        <v>4F西文書庫 4F Western Language Books</v>
      </c>
      <c r="E164" s="1" t="str">
        <f>("HD39.5 S964 2000")</f>
        <v>HD39.5 S964 2000</v>
      </c>
      <c r="G164" s="1" t="str">
        <f>("xvii, 233 p. :")</f>
        <v>xvii, 233 p. :</v>
      </c>
      <c r="H164" s="1" t="str">
        <f>("ill. ;")</f>
        <v>ill. ;</v>
      </c>
      <c r="I164" s="1" t="str">
        <f>("24 cm ")</f>
        <v xml:space="preserve">24 cm </v>
      </c>
    </row>
    <row r="165" spans="2:9" x14ac:dyDescent="0.25">
      <c r="B165" s="1" t="str">
        <f>("W00002497")</f>
        <v>W00002497</v>
      </c>
      <c r="C165" s="1" t="str">
        <f>("Modern competitive analysis /")</f>
        <v>Modern competitive analysis /</v>
      </c>
      <c r="D165" s="1" t="str">
        <f>("罕用書庫1-洽櫃台填單 Upon-Request Collection1 fil")</f>
        <v>罕用書庫1-洽櫃台填單 Upon-Request Collection1 fil</v>
      </c>
      <c r="E165" s="1" t="str">
        <f>("HD41 O85 1999 c.2")</f>
        <v>HD41 O85 1999 c.2</v>
      </c>
      <c r="G165" s="1" t="str">
        <f>("x, 434 p. :")</f>
        <v>x, 434 p. :</v>
      </c>
      <c r="H165" s="1" t="str">
        <f>("ill. ;")</f>
        <v>ill. ;</v>
      </c>
      <c r="I165" s="1" t="str">
        <f>("24 cm.")</f>
        <v>24 cm.</v>
      </c>
    </row>
    <row r="166" spans="2:9" x14ac:dyDescent="0.25">
      <c r="B166" s="1" t="str">
        <f>("W00002070")</f>
        <v>W00002070</v>
      </c>
      <c r="C166" s="1" t="str">
        <f>("Is it always right to be right? :a tale of transforming workplace conflict into creativity and collaboration / ")</f>
        <v xml:space="preserve">Is it always right to be right? :a tale of transforming workplace conflict into creativity and collaboration / </v>
      </c>
      <c r="D166" s="1" t="str">
        <f t="shared" ref="D166:D197" si="6">("4F西文書庫 4F Western Language Books")</f>
        <v>4F西文書庫 4F Western Language Books</v>
      </c>
      <c r="E166" s="1" t="str">
        <f>("HD42 S349 2001")</f>
        <v>HD42 S349 2001</v>
      </c>
    </row>
    <row r="167" spans="2:9" x14ac:dyDescent="0.25">
      <c r="B167" s="1" t="str">
        <f>("W00002510")</f>
        <v>W00002510</v>
      </c>
      <c r="C167" s="1" t="str">
        <f>("Managing technological innovation : competitive advantage from change / ")</f>
        <v xml:space="preserve">Managing technological innovation : competitive advantage from change / </v>
      </c>
      <c r="D167" s="1" t="str">
        <f t="shared" si="6"/>
        <v>4F西文書庫 4F Western Language Books</v>
      </c>
      <c r="E167" s="1" t="str">
        <f>("HD45 B562 1998")</f>
        <v>HD45 B562 1998</v>
      </c>
    </row>
    <row r="168" spans="2:9" x14ac:dyDescent="0.25">
      <c r="B168" s="1" t="str">
        <f>("W00002323")</f>
        <v>W00002323</v>
      </c>
      <c r="C168" s="1" t="str">
        <f>("Value based management :the corporate response to the shareholder revolution /")</f>
        <v>Value based management :the corporate response to the shareholder revolution /</v>
      </c>
      <c r="D168" s="1" t="str">
        <f t="shared" si="6"/>
        <v>4F西文書庫 4F Western Language Books</v>
      </c>
      <c r="E168" s="1" t="str">
        <f>("HD47.3 M379 2000")</f>
        <v>HD47.3 M379 2000</v>
      </c>
    </row>
    <row r="169" spans="2:9" x14ac:dyDescent="0.25">
      <c r="B169" s="1" t="str">
        <f>("W00002383")</f>
        <v>W00002383</v>
      </c>
      <c r="C169" s="1" t="str">
        <f>("Harvard business review on crisis management. ")</f>
        <v xml:space="preserve">Harvard business review on crisis management. </v>
      </c>
      <c r="D169" s="1" t="str">
        <f t="shared" si="6"/>
        <v>4F西文書庫 4F Western Language Books</v>
      </c>
      <c r="E169" s="1" t="str">
        <f>("HD49 H341 2000")</f>
        <v>HD49 H341 2000</v>
      </c>
      <c r="G169" s="1" t="str">
        <f>("v, 252 p. : ")</f>
        <v xml:space="preserve">v, 252 p. : </v>
      </c>
      <c r="H169" s="1" t="str">
        <f>("ill. ; ")</f>
        <v xml:space="preserve">ill. ; </v>
      </c>
      <c r="I169" s="1" t="str">
        <f>("21 cm. ")</f>
        <v xml:space="preserve">21 cm. </v>
      </c>
    </row>
    <row r="170" spans="2:9" x14ac:dyDescent="0.25">
      <c r="B170" s="1" t="str">
        <f>("W00002444")</f>
        <v>W00002444</v>
      </c>
      <c r="C170" s="1" t="str">
        <f>("Managing crisis before they happen :what every executive and manager needs to know about crisis management /")</f>
        <v>Managing crisis before they happen :what every executive and manager needs to know about crisis management /</v>
      </c>
      <c r="D170" s="1" t="str">
        <f t="shared" si="6"/>
        <v>4F西文書庫 4F Western Language Books</v>
      </c>
      <c r="E170" s="1" t="str">
        <f>("HD49 M679 2001")</f>
        <v>HD49 M679 2001</v>
      </c>
    </row>
    <row r="171" spans="2:9" x14ac:dyDescent="0.25">
      <c r="B171" s="1" t="str">
        <f>("W00002514")</f>
        <v>W00002514</v>
      </c>
      <c r="C171" s="1" t="str">
        <f>("Modern labor economics : theory and public policy / ")</f>
        <v xml:space="preserve">Modern labor economics : theory and public policy / </v>
      </c>
      <c r="D171" s="1" t="str">
        <f t="shared" si="6"/>
        <v>4F西文書庫 4F Western Language Books</v>
      </c>
      <c r="E171" s="1" t="str">
        <f>("HD4901 E33 2000")</f>
        <v>HD4901 E33 2000</v>
      </c>
      <c r="G171" s="1" t="str">
        <f>("xix, 651 p. : ")</f>
        <v xml:space="preserve">xix, 651 p. : </v>
      </c>
      <c r="H171" s="1" t="str">
        <f>("ill. ; ")</f>
        <v xml:space="preserve">ill. ; </v>
      </c>
      <c r="I171" s="1" t="str">
        <f>("24 cm. ")</f>
        <v xml:space="preserve">24 cm. </v>
      </c>
    </row>
    <row r="172" spans="2:9" x14ac:dyDescent="0.25">
      <c r="B172" s="1" t="str">
        <f>("W00002206")</f>
        <v>W00002206</v>
      </c>
      <c r="C172" s="1" t="str">
        <f>("Work, postmodernism and organization : a critical introduction / ")</f>
        <v xml:space="preserve">Work, postmodernism and organization : a critical introduction / </v>
      </c>
      <c r="D172" s="1" t="str">
        <f t="shared" si="6"/>
        <v>4F西文書庫 4F Western Language Books</v>
      </c>
      <c r="E172" s="1" t="str">
        <f>("HD4904 H235 2001")</f>
        <v>HD4904 H235 2001</v>
      </c>
    </row>
    <row r="173" spans="2:9" x14ac:dyDescent="0.25">
      <c r="B173" s="1" t="str">
        <f>("W00002382")</f>
        <v>W00002382</v>
      </c>
      <c r="C173" s="1" t="str">
        <f>("Innovation strategy for the knowledge economy : the ken awakening / ")</f>
        <v xml:space="preserve">Innovation strategy for the knowledge economy : the ken awakening / </v>
      </c>
      <c r="D173" s="1" t="str">
        <f t="shared" si="6"/>
        <v>4F西文書庫 4F Western Language Books</v>
      </c>
      <c r="E173" s="1" t="str">
        <f>("HD53 A516 1997")</f>
        <v>HD53 A516 1997</v>
      </c>
    </row>
    <row r="174" spans="2:9" x14ac:dyDescent="0.25">
      <c r="B174" s="1" t="str">
        <f>("W00002390")</f>
        <v>W00002390</v>
      </c>
      <c r="C174" s="1" t="str">
        <f>("Creativity and innovation for managers /")</f>
        <v>Creativity and innovation for managers /</v>
      </c>
      <c r="D174" s="1" t="str">
        <f t="shared" si="6"/>
        <v>4F西文書庫 4F Western Language Books</v>
      </c>
      <c r="E174" s="1" t="str">
        <f>("HD53 C623 1999")</f>
        <v>HD53 C623 1999</v>
      </c>
    </row>
    <row r="175" spans="2:9" x14ac:dyDescent="0.25">
      <c r="B175" s="1" t="str">
        <f>("W00002273")</f>
        <v>W00002273</v>
      </c>
      <c r="C175" s="1" t="str">
        <f>("Leading the revolution /")</f>
        <v>Leading the revolution /</v>
      </c>
      <c r="D175" s="1" t="str">
        <f t="shared" si="6"/>
        <v>4F西文書庫 4F Western Language Books</v>
      </c>
      <c r="E175" s="1" t="str">
        <f>("HD53 H213 2000")</f>
        <v>HD53 H213 2000</v>
      </c>
    </row>
    <row r="176" spans="2:9" x14ac:dyDescent="0.25">
      <c r="B176" s="1" t="str">
        <f>("W00002416")</f>
        <v>W00002416</v>
      </c>
      <c r="C176" s="1" t="str">
        <f>("Harvard business review on breakthrough thinking. ")</f>
        <v xml:space="preserve">Harvard business review on breakthrough thinking. </v>
      </c>
      <c r="D176" s="1" t="str">
        <f t="shared" si="6"/>
        <v>4F西文書庫 4F Western Language Books</v>
      </c>
      <c r="E176" s="1" t="str">
        <f>("HD53 H341 1999")</f>
        <v>HD53 H341 1999</v>
      </c>
    </row>
    <row r="177" spans="2:5" x14ac:dyDescent="0.25">
      <c r="B177" s="1" t="str">
        <f>("W00003095")</f>
        <v>W00003095</v>
      </c>
      <c r="C177" s="1" t="str">
        <f>("Think out of the box /")</f>
        <v>Think out of the box /</v>
      </c>
      <c r="D177" s="1" t="str">
        <f t="shared" si="6"/>
        <v>4F西文書庫 4F Western Language Books</v>
      </c>
      <c r="E177" s="1" t="str">
        <f>("HD53 V222 1995")</f>
        <v>HD53 V222 1995</v>
      </c>
    </row>
    <row r="178" spans="2:5" x14ac:dyDescent="0.25">
      <c r="B178" s="1" t="str">
        <f>("W00002116")</f>
        <v>W00002116</v>
      </c>
      <c r="C178" s="1" t="str">
        <f>("Raise the bar :creative strategies to take your business &amp; personal life to the next level /")</f>
        <v>Raise the bar :creative strategies to take your business &amp; personal life to the next level /</v>
      </c>
      <c r="D178" s="1" t="str">
        <f t="shared" si="6"/>
        <v>4F西文書庫 4F Western Language Books</v>
      </c>
      <c r="E178" s="1" t="str">
        <f>("HD53 V222 1999")</f>
        <v>HD53 V222 1999</v>
      </c>
    </row>
    <row r="179" spans="2:5" x14ac:dyDescent="0.25">
      <c r="B179" s="1" t="str">
        <f>("W00003221")</f>
        <v>W00003221</v>
      </c>
      <c r="C179" s="1" t="str">
        <f>("Coaching, counseling &amp; mentoring :how to choose &amp; use the right technique to boost employee performance /")</f>
        <v>Coaching, counseling &amp; mentoring :how to choose &amp; use the right technique to boost employee performance /</v>
      </c>
      <c r="D179" s="1" t="str">
        <f t="shared" si="6"/>
        <v>4F西文書庫 4F Western Language Books</v>
      </c>
      <c r="E179" s="1" t="str">
        <f>("HD5385 S877 1999")</f>
        <v>HD5385 S877 1999</v>
      </c>
    </row>
    <row r="180" spans="2:5" x14ac:dyDescent="0.25">
      <c r="B180" s="1" t="str">
        <f>("W00003225")</f>
        <v>W00003225</v>
      </c>
      <c r="C180" s="1" t="str">
        <f>("Performance management in the 21st century :solutions for business, education, and family /")</f>
        <v>Performance management in the 21st century :solutions for business, education, and family /</v>
      </c>
      <c r="D180" s="1" t="str">
        <f t="shared" si="6"/>
        <v>4F西文書庫 4F Western Language Books</v>
      </c>
      <c r="E180" s="1" t="str">
        <f>("HD56 J78 1999")</f>
        <v>HD56 J78 1999</v>
      </c>
    </row>
    <row r="181" spans="2:5" x14ac:dyDescent="0.25">
      <c r="B181" s="1" t="str">
        <f>("W00002114")</f>
        <v>W00002114</v>
      </c>
      <c r="C181" s="1" t="str">
        <f>("Participation and empowerment in organizations :modeling, effectiveness, and applications /")</f>
        <v>Participation and empowerment in organizations :modeling, effectiveness, and applications /</v>
      </c>
      <c r="D181" s="1" t="str">
        <f t="shared" si="6"/>
        <v>4F西文書庫 4F Western Language Books</v>
      </c>
      <c r="E181" s="1" t="str">
        <f>("HD5650 S129 2000")</f>
        <v>HD5650 S129 2000</v>
      </c>
    </row>
    <row r="182" spans="2:5" x14ac:dyDescent="0.25">
      <c r="B182" s="1" t="str">
        <f>("W00002278")</f>
        <v>W00002278</v>
      </c>
      <c r="C182" s="1" t="str">
        <f>("The future of leadership :today's top leadership thinkers speak to tomorrow's leaders / ")</f>
        <v xml:space="preserve">The future of leadership :today's top leadership thinkers speak to tomorrow's leaders / </v>
      </c>
      <c r="D182" s="1" t="str">
        <f t="shared" si="6"/>
        <v>4F西文書庫 4F Western Language Books</v>
      </c>
      <c r="E182" s="1" t="str">
        <f>("HD57.7 B469 2001")</f>
        <v>HD57.7 B469 2001</v>
      </c>
    </row>
    <row r="183" spans="2:5" x14ac:dyDescent="0.25">
      <c r="B183" s="1" t="str">
        <f>("W00002238")</f>
        <v>W00002238</v>
      </c>
      <c r="C183" s="1" t="str">
        <f>("Secrets of a CEO coach :your personal training guide to thinking like a leader and acting like a CEO /")</f>
        <v>Secrets of a CEO coach :your personal training guide to thinking like a leader and acting like a CEO /</v>
      </c>
      <c r="D183" s="1" t="str">
        <f t="shared" si="6"/>
        <v>4F西文書庫 4F Western Language Books</v>
      </c>
      <c r="E183" s="1" t="str">
        <f>("HD57.7 B478 1999")</f>
        <v>HD57.7 B478 1999</v>
      </c>
    </row>
    <row r="184" spans="2:5" x14ac:dyDescent="0.25">
      <c r="B184" s="1" t="str">
        <f>("W00002062")</f>
        <v>W00002062</v>
      </c>
      <c r="C184" s="1" t="str">
        <f>("The 108 skills of natural born leaders /")</f>
        <v>The 108 skills of natural born leaders /</v>
      </c>
      <c r="D184" s="1" t="str">
        <f t="shared" si="6"/>
        <v>4F西文書庫 4F Western Language Books</v>
      </c>
      <c r="E184" s="1" t="str">
        <f>("HD57.7 B638 2001")</f>
        <v>HD57.7 B638 2001</v>
      </c>
    </row>
    <row r="185" spans="2:5" x14ac:dyDescent="0.25">
      <c r="B185" s="1" t="str">
        <f>("W00002967")</f>
        <v>W00002967</v>
      </c>
      <c r="C185" s="1" t="str">
        <f>("Leadership : theory and practice / ")</f>
        <v xml:space="preserve">Leadership : theory and practice / </v>
      </c>
      <c r="D185" s="1" t="str">
        <f t="shared" si="6"/>
        <v>4F西文書庫 4F Western Language Books</v>
      </c>
      <c r="E185" s="1" t="str">
        <f>("HD57.7 D124 1999")</f>
        <v>HD57.7 D124 1999</v>
      </c>
    </row>
    <row r="186" spans="2:5" x14ac:dyDescent="0.25">
      <c r="B186" s="1" t="str">
        <f>("W00002059")</f>
        <v>W00002059</v>
      </c>
      <c r="C186" s="1" t="str">
        <f>("The forward-focused organization :visionary thinking and breakthrough leadership to create your company's future /")</f>
        <v>The forward-focused organization :visionary thinking and breakthrough leadership to create your company's future /</v>
      </c>
      <c r="D186" s="1" t="str">
        <f t="shared" si="6"/>
        <v>4F西文書庫 4F Western Language Books</v>
      </c>
      <c r="E186" s="1" t="str">
        <f>("HD57.7 H294 2001")</f>
        <v>HD57.7 H294 2001</v>
      </c>
    </row>
    <row r="187" spans="2:5" x14ac:dyDescent="0.25">
      <c r="B187" s="1" t="str">
        <f>("W00002086")</f>
        <v>W00002086</v>
      </c>
      <c r="C187" s="1" t="str">
        <f>("Essence of leadership/ ")</f>
        <v xml:space="preserve">Essence of leadership/ </v>
      </c>
      <c r="D187" s="1" t="str">
        <f t="shared" si="6"/>
        <v>4F西文書庫 4F Western Language Books</v>
      </c>
      <c r="E187" s="1" t="str">
        <f>("HD57.7 K11 1999")</f>
        <v>HD57.7 K11 1999</v>
      </c>
    </row>
    <row r="188" spans="2:5" x14ac:dyDescent="0.25">
      <c r="B188" s="1" t="str">
        <f>("W00003109")</f>
        <v>W00003109</v>
      </c>
      <c r="C188" s="1" t="str">
        <f>("The leadership gene :the genetic code of a life-long leadership career /")</f>
        <v>The leadership gene :the genetic code of a life-long leadership career /</v>
      </c>
      <c r="D188" s="1" t="str">
        <f t="shared" si="6"/>
        <v>4F西文書庫 4F Western Language Books</v>
      </c>
      <c r="E188" s="1" t="str">
        <f>("HD57.7 L664 1998")</f>
        <v>HD57.7 L664 1998</v>
      </c>
    </row>
    <row r="189" spans="2:5" x14ac:dyDescent="0.25">
      <c r="B189" s="1" t="str">
        <f>("W00003188")</f>
        <v>W00003188</v>
      </c>
      <c r="C189" s="1" t="str">
        <f>("The inner work of leaders :leadership as a habit of mind /")</f>
        <v>The inner work of leaders :leadership as a habit of mind /</v>
      </c>
      <c r="D189" s="1" t="str">
        <f t="shared" si="6"/>
        <v>4F西文書庫 4F Western Language Books</v>
      </c>
      <c r="E189" s="1" t="str">
        <f>("HD57.7 M159 2001")</f>
        <v>HD57.7 M159 2001</v>
      </c>
    </row>
    <row r="190" spans="2:5" x14ac:dyDescent="0.25">
      <c r="B190" s="1" t="str">
        <f>("W00003192")</f>
        <v>W00003192</v>
      </c>
      <c r="C190" s="1" t="str">
        <f>("Leading at the edge :leadership lessons from the  extraordinary saga of Shackleton's Antarctic expedition /")</f>
        <v>Leading at the edge :leadership lessons from the  extraordinary saga of Shackleton's Antarctic expedition /</v>
      </c>
      <c r="D190" s="1" t="str">
        <f t="shared" si="6"/>
        <v>4F西文書庫 4F Western Language Books</v>
      </c>
      <c r="E190" s="1" t="str">
        <f>("HD57.7 P448 2000")</f>
        <v>HD57.7 P448 2000</v>
      </c>
    </row>
    <row r="191" spans="2:5" x14ac:dyDescent="0.25">
      <c r="B191" s="1" t="str">
        <f>("W00003186")</f>
        <v>W00003186</v>
      </c>
      <c r="C191" s="1" t="str">
        <f>("Get better or get beaten :29 leadership secrets from GE's Jack Welch /")</f>
        <v>Get better or get beaten :29 leadership secrets from GE's Jack Welch /</v>
      </c>
      <c r="D191" s="1" t="str">
        <f t="shared" si="6"/>
        <v>4F西文書庫 4F Western Language Books</v>
      </c>
      <c r="E191" s="1" t="str">
        <f>("HD57.7 S631 2001")</f>
        <v>HD57.7 S631 2001</v>
      </c>
    </row>
    <row r="192" spans="2:5" x14ac:dyDescent="0.25">
      <c r="B192" s="1" t="str">
        <f>("W00003204")</f>
        <v>W00003204</v>
      </c>
      <c r="C192" s="1" t="str">
        <f>("Are skills the answer? :the political economy of skill creation in advanced industrial countries /")</f>
        <v>Are skills the answer? :the political economy of skill creation in advanced industrial countries /</v>
      </c>
      <c r="D192" s="1" t="str">
        <f t="shared" si="6"/>
        <v>4F西文書庫 4F Western Language Books</v>
      </c>
      <c r="E192" s="1" t="str">
        <f>("HD5715 C952 1999")</f>
        <v>HD5715 C952 1999</v>
      </c>
    </row>
    <row r="193" spans="2:5" x14ac:dyDescent="0.25">
      <c r="B193" s="1" t="str">
        <f>("W00002405")</f>
        <v>W00002405</v>
      </c>
      <c r="C193" s="1" t="str">
        <f>("Successful negotiating :letting the other person have your way /")</f>
        <v>Successful negotiating :letting the other person have your way /</v>
      </c>
      <c r="D193" s="1" t="str">
        <f t="shared" si="6"/>
        <v>4F西文書庫 4F Western Language Books</v>
      </c>
      <c r="E193" s="1" t="str">
        <f>("HD58.6 B261 1998")</f>
        <v>HD58.6 B261 1998</v>
      </c>
    </row>
    <row r="194" spans="2:5" x14ac:dyDescent="0.25">
      <c r="B194" s="1" t="str">
        <f>("W00002261")</f>
        <v>W00002261</v>
      </c>
      <c r="C194" s="1" t="str">
        <f>("Negotiating globally :how to negotiate deals, resolve disputes, and make decisions across cultural boundaries /")</f>
        <v>Negotiating globally :how to negotiate deals, resolve disputes, and make decisions across cultural boundaries /</v>
      </c>
      <c r="D194" s="1" t="str">
        <f t="shared" si="6"/>
        <v>4F西文書庫 4F Western Language Books</v>
      </c>
      <c r="E194" s="1" t="str">
        <f>("HD58.6 B845 2001")</f>
        <v>HD58.6 B845 2001</v>
      </c>
    </row>
    <row r="195" spans="2:5" x14ac:dyDescent="0.25">
      <c r="B195" s="1" t="str">
        <f>("W00003140")</f>
        <v>W00003140</v>
      </c>
      <c r="C195" s="1" t="str">
        <f>("The 50 best (and worst) business deals of all time /")</f>
        <v>The 50 best (and worst) business deals of all time /</v>
      </c>
      <c r="D195" s="1" t="str">
        <f t="shared" si="6"/>
        <v>4F西文書庫 4F Western Language Books</v>
      </c>
      <c r="E195" s="1" t="str">
        <f>("HD58.6 C886 2000")</f>
        <v>HD58.6 C886 2000</v>
      </c>
    </row>
    <row r="196" spans="2:5" x14ac:dyDescent="0.25">
      <c r="B196" s="1" t="str">
        <f>("W00002377")</f>
        <v>W00002377</v>
      </c>
      <c r="C196" s="1" t="str">
        <f>("Secrets of power negotiating : inside secrets from a master negotiator / ")</f>
        <v xml:space="preserve">Secrets of power negotiating : inside secrets from a master negotiator / </v>
      </c>
      <c r="D196" s="1" t="str">
        <f t="shared" si="6"/>
        <v>4F西文書庫 4F Western Language Books</v>
      </c>
      <c r="E196" s="1" t="str">
        <f>("HD58.6 D272 1999")</f>
        <v>HD58.6 D272 1999</v>
      </c>
    </row>
    <row r="197" spans="2:5" x14ac:dyDescent="0.25">
      <c r="B197" s="1" t="str">
        <f>("W00003147")</f>
        <v>W00003147</v>
      </c>
      <c r="C197" s="1" t="str">
        <f>("A primer on organizational behavior /")</f>
        <v>A primer on organizational behavior /</v>
      </c>
      <c r="D197" s="1" t="str">
        <f t="shared" si="6"/>
        <v>4F西文書庫 4F Western Language Books</v>
      </c>
      <c r="E197" s="1" t="str">
        <f>("HD58.7 B785 2001")</f>
        <v>HD58.7 B785 2001</v>
      </c>
    </row>
    <row r="198" spans="2:5" x14ac:dyDescent="0.25">
      <c r="B198" s="1" t="str">
        <f>("W00002120")</f>
        <v>W00002120</v>
      </c>
      <c r="C198" s="1" t="str">
        <f>("Organizational Research Methods:A guide for student and researchers/")</f>
        <v>Organizational Research Methods:A guide for student and researchers/</v>
      </c>
      <c r="D198" s="1" t="str">
        <f t="shared" ref="D198:D229" si="7">("4F西文書庫 4F Western Language Books")</f>
        <v>4F西文書庫 4F Western Language Books</v>
      </c>
      <c r="E198" s="1" t="str">
        <f>("HD58.7 B847 2001")</f>
        <v>HD58.7 B847 2001</v>
      </c>
    </row>
    <row r="199" spans="2:5" x14ac:dyDescent="0.25">
      <c r="B199" s="1" t="str">
        <f>("W00002115")</f>
        <v>W00002115</v>
      </c>
      <c r="C199" s="1" t="str">
        <f>("In good company :how social capital makes organizations work /")</f>
        <v>In good company :how social capital makes organizations work /</v>
      </c>
      <c r="D199" s="1" t="str">
        <f t="shared" si="7"/>
        <v>4F西文書庫 4F Western Language Books</v>
      </c>
      <c r="E199" s="1" t="str">
        <f>("HD58.7 C678 2001")</f>
        <v>HD58.7 C678 2001</v>
      </c>
    </row>
    <row r="200" spans="2:5" x14ac:dyDescent="0.25">
      <c r="B200" s="1" t="str">
        <f>("W00002243")</f>
        <v>W00002243</v>
      </c>
      <c r="C200" s="1" t="str">
        <f>("Introduction to organizational behaviour /")</f>
        <v>Introduction to organizational behaviour /</v>
      </c>
      <c r="D200" s="1" t="str">
        <f t="shared" si="7"/>
        <v>4F西文書庫 4F Western Language Books</v>
      </c>
      <c r="E200" s="1" t="str">
        <f>("HD58.7 D795 2000")</f>
        <v>HD58.7 D795 2000</v>
      </c>
    </row>
    <row r="201" spans="2:5" x14ac:dyDescent="0.25">
      <c r="B201" s="1" t="str">
        <f>("W00003195")</f>
        <v>W00003195</v>
      </c>
      <c r="C201" s="1" t="str">
        <f>("Performance improvement :making it happen /")</f>
        <v>Performance improvement :making it happen /</v>
      </c>
      <c r="D201" s="1" t="str">
        <f t="shared" si="7"/>
        <v>4F西文書庫 4F Western Language Books</v>
      </c>
      <c r="E201" s="1" t="str">
        <f>("HD58.7 E59 2000")</f>
        <v>HD58.7 E59 2000</v>
      </c>
    </row>
    <row r="202" spans="2:5" x14ac:dyDescent="0.25">
      <c r="B202" s="1" t="str">
        <f>("W00002461")</f>
        <v>W00002461</v>
      </c>
      <c r="C202" s="1" t="str">
        <f>("Understanding and managing organizational behavior /")</f>
        <v>Understanding and managing organizational behavior /</v>
      </c>
      <c r="D202" s="1" t="str">
        <f t="shared" si="7"/>
        <v>4F西文書庫 4F Western Language Books</v>
      </c>
      <c r="E202" s="1" t="str">
        <f>("HD58.7 G347 1999")</f>
        <v>HD58.7 G347 1999</v>
      </c>
    </row>
    <row r="203" spans="2:5" x14ac:dyDescent="0.25">
      <c r="B203" s="1" t="str">
        <f>("W00002252")</f>
        <v>W00002252</v>
      </c>
      <c r="C203" s="1" t="str">
        <f>("Managing through organisation :the management process,forms of organization, and the work of managers /")</f>
        <v>Managing through organisation :the management process,forms of organization, and the work of managers /</v>
      </c>
      <c r="D203" s="1" t="str">
        <f t="shared" si="7"/>
        <v>4F西文書庫 4F Western Language Books</v>
      </c>
      <c r="E203" s="1" t="str">
        <f>("HD58.7 H167 2001")</f>
        <v>HD58.7 H167 2001</v>
      </c>
    </row>
    <row r="204" spans="2:5" x14ac:dyDescent="0.25">
      <c r="B204" s="1" t="str">
        <f>("W00002119")</f>
        <v>W00002119</v>
      </c>
      <c r="C204" s="1" t="str">
        <f>("Management and cultural values /the indigenization of organizations in Asia /")</f>
        <v>Management and cultural values /the indigenization of organizations in Asia /</v>
      </c>
      <c r="D204" s="1" t="str">
        <f t="shared" si="7"/>
        <v>4F西文書庫 4F Western Language Books</v>
      </c>
      <c r="E204" s="1" t="str">
        <f>("HD58.7 K11 1999")</f>
        <v>HD58.7 K11 1999</v>
      </c>
    </row>
    <row r="205" spans="2:5" x14ac:dyDescent="0.25">
      <c r="B205" s="1" t="str">
        <f>("W00002078")</f>
        <v>W00002078</v>
      </c>
      <c r="C205" s="1" t="str">
        <f>("The aesthetics of organization /")</f>
        <v>The aesthetics of organization /</v>
      </c>
      <c r="D205" s="1" t="str">
        <f t="shared" si="7"/>
        <v>4F西文書庫 4F Western Language Books</v>
      </c>
      <c r="E205" s="1" t="str">
        <f>("HD58.7 L759 2000")</f>
        <v>HD58.7 L759 2000</v>
      </c>
    </row>
    <row r="206" spans="2:5" x14ac:dyDescent="0.25">
      <c r="B206" s="1" t="str">
        <f>("W00003061")</f>
        <v>W00003061</v>
      </c>
      <c r="C206" s="1" t="str">
        <f>("Kaizen strategies for successful organizational change :enabling evolution and revolution within the organization /")</f>
        <v>Kaizen strategies for successful organizational change :enabling evolution and revolution within the organization /</v>
      </c>
      <c r="D206" s="1" t="str">
        <f t="shared" si="7"/>
        <v>4F西文書庫 4F Western Language Books</v>
      </c>
      <c r="E206" s="1" t="str">
        <f>("HD58.8 C692 2000")</f>
        <v>HD58.8 C692 2000</v>
      </c>
    </row>
    <row r="207" spans="2:5" x14ac:dyDescent="0.25">
      <c r="B207" s="1" t="str">
        <f>("W00003169")</f>
        <v>W00003169</v>
      </c>
      <c r="C207" s="1" t="str">
        <f>("Response ability :the language, structure, and culture of the agile enterprise /")</f>
        <v>Response ability :the language, structure, and culture of the agile enterprise /</v>
      </c>
      <c r="D207" s="1" t="str">
        <f t="shared" si="7"/>
        <v>4F西文書庫 4F Western Language Books</v>
      </c>
      <c r="E207" s="1" t="str">
        <f>("HD58.8 D743 2001")</f>
        <v>HD58.8 D743 2001</v>
      </c>
    </row>
    <row r="208" spans="2:5" x14ac:dyDescent="0.25">
      <c r="B208" s="1" t="str">
        <f>("W00002178")</f>
        <v>W00002178</v>
      </c>
      <c r="C208" s="1" t="str">
        <f>("Making Six Sigma last : managing the balance between cultural and technical change / ")</f>
        <v xml:space="preserve">Making Six Sigma last : managing the balance between cultural and technical change / </v>
      </c>
      <c r="D208" s="1" t="str">
        <f t="shared" si="7"/>
        <v>4F西文書庫 4F Western Language Books</v>
      </c>
      <c r="E208" s="1" t="str">
        <f>("HD58.8 E19 2001")</f>
        <v>HD58.8 E19 2001</v>
      </c>
    </row>
    <row r="209" spans="2:5" x14ac:dyDescent="0.25">
      <c r="B209" s="1" t="str">
        <f>("W00003133")</f>
        <v>W00003133</v>
      </c>
      <c r="C209" s="1" t="str">
        <f>("Harvard Business review on innovation.")</f>
        <v>Harvard Business review on innovation.</v>
      </c>
      <c r="D209" s="1" t="str">
        <f t="shared" si="7"/>
        <v>4F西文書庫 4F Western Language Books</v>
      </c>
      <c r="E209" s="1" t="str">
        <f>("HD58.8 H339 2001")</f>
        <v>HD58.8 H339 2001</v>
      </c>
    </row>
    <row r="210" spans="2:5" x14ac:dyDescent="0.25">
      <c r="B210" s="1" t="str">
        <f>("W00002439")</f>
        <v>W00002439</v>
      </c>
      <c r="C210" s="1" t="str">
        <f>("Change on the run :  competing through e-leadership / ")</f>
        <v xml:space="preserve">Change on the run :  competing through e-leadership / </v>
      </c>
      <c r="D210" s="1" t="str">
        <f t="shared" si="7"/>
        <v>4F西文書庫 4F Western Language Books</v>
      </c>
      <c r="E210" s="1" t="str">
        <f>("HD58.8 K23 2000")</f>
        <v>HD58.8 K23 2000</v>
      </c>
    </row>
    <row r="211" spans="2:5" x14ac:dyDescent="0.25">
      <c r="B211" s="1" t="str">
        <f>("W00003047")</f>
        <v>W00003047</v>
      </c>
      <c r="C211" s="1" t="str">
        <f>("Change management :a guide to effective implementation /")</f>
        <v>Change management :a guide to effective implementation /</v>
      </c>
      <c r="D211" s="1" t="str">
        <f t="shared" si="7"/>
        <v>4F西文書庫 4F Western Language Books</v>
      </c>
      <c r="E211" s="1" t="str">
        <f>("HD58.8 P312 2000")</f>
        <v>HD58.8 P312 2000</v>
      </c>
    </row>
    <row r="212" spans="2:5" x14ac:dyDescent="0.25">
      <c r="B212" s="1" t="str">
        <f>("W00003229")</f>
        <v>W00003229</v>
      </c>
      <c r="C212" s="1" t="str">
        <f>("The learning company :a strategy for sustainable development /")</f>
        <v>The learning company :a strategy for sustainable development /</v>
      </c>
      <c r="D212" s="1" t="str">
        <f t="shared" si="7"/>
        <v>4F西文書庫 4F Western Language Books</v>
      </c>
      <c r="E212" s="1" t="str">
        <f>("HD58.8 P371 1997")</f>
        <v>HD58.8 P371 1997</v>
      </c>
    </row>
    <row r="213" spans="2:5" x14ac:dyDescent="0.25">
      <c r="B213" s="1" t="str">
        <f>("W00002396")</f>
        <v>W00002396</v>
      </c>
      <c r="C213" s="1" t="s">
        <v>67</v>
      </c>
      <c r="D213" s="1" t="str">
        <f t="shared" si="7"/>
        <v>4F西文書庫 4F Western Language Books</v>
      </c>
      <c r="E213" s="1" t="str">
        <f>("HD58.8 P988 2001")</f>
        <v>HD58.8 P988 2001</v>
      </c>
    </row>
    <row r="214" spans="2:5" x14ac:dyDescent="0.25">
      <c r="B214" s="1" t="str">
        <f>("W00003083")</f>
        <v>W00003083</v>
      </c>
      <c r="C214" s="1" t="str">
        <f>("Leading the organisation to learn :the 10 levers for putting knowledge and learning to work /")</f>
        <v>Leading the organisation to learn :the 10 levers for putting knowledge and learning to work /</v>
      </c>
      <c r="D214" s="1" t="str">
        <f t="shared" si="7"/>
        <v>4F西文書庫 4F Western Language Books</v>
      </c>
      <c r="E214" s="1" t="str">
        <f>("HD58.82 C782 1998")</f>
        <v>HD58.82 C782 1998</v>
      </c>
    </row>
    <row r="215" spans="2:5" x14ac:dyDescent="0.25">
      <c r="B215" s="1" t="str">
        <f>("W00003125")</f>
        <v>W00003125</v>
      </c>
      <c r="C215" s="1" t="str">
        <f>("Working knowledge :how organizations manage what they know /")</f>
        <v>Working knowledge :how organizations manage what they know /</v>
      </c>
      <c r="D215" s="1" t="str">
        <f t="shared" si="7"/>
        <v>4F西文書庫 4F Western Language Books</v>
      </c>
      <c r="E215" s="1" t="str">
        <f>("HD58.82 D247 2000")</f>
        <v>HD58.82 D247 2000</v>
      </c>
    </row>
    <row r="216" spans="2:5" x14ac:dyDescent="0.25">
      <c r="B216" s="1" t="str">
        <f>("W00003208")</f>
        <v>W00003208</v>
      </c>
      <c r="C216" s="1" t="str">
        <f>("Harvard business review on organizational learning.")</f>
        <v>Harvard business review on organizational learning.</v>
      </c>
      <c r="D216" s="1" t="str">
        <f t="shared" si="7"/>
        <v>4F西文書庫 4F Western Language Books</v>
      </c>
      <c r="E216" s="1" t="str">
        <f>("HD58.82 H339 2001")</f>
        <v>HD58.82 H339 2001</v>
      </c>
    </row>
    <row r="217" spans="2:5" x14ac:dyDescent="0.25">
      <c r="B217" s="1" t="str">
        <f>("W00003223")</f>
        <v>W00003223</v>
      </c>
      <c r="C217" s="1" t="str">
        <f>("Integrated learning for ERP success :a learning requirements planning approach /")</f>
        <v>Integrated learning for ERP success :a learning requirements planning approach /</v>
      </c>
      <c r="D217" s="1" t="str">
        <f t="shared" si="7"/>
        <v>4F西文書庫 4F Western Language Books</v>
      </c>
      <c r="E217" s="1" t="str">
        <f>("HD58.82 K17 2001")</f>
        <v>HD58.82 K17 2001</v>
      </c>
    </row>
    <row r="218" spans="2:5" x14ac:dyDescent="0.25">
      <c r="B218" s="1" t="str">
        <f>("W00002363")</f>
        <v>W00002363</v>
      </c>
      <c r="C218" s="1" t="str">
        <f>("Knowledge management and organizational design / ")</f>
        <v xml:space="preserve">Knowledge management and organizational design / </v>
      </c>
      <c r="D218" s="1" t="str">
        <f t="shared" si="7"/>
        <v>4F西文書庫 4F Western Language Books</v>
      </c>
      <c r="E218" s="1" t="str">
        <f>("HD58.82 M468 1996")</f>
        <v>HD58.82 M468 1996</v>
      </c>
    </row>
    <row r="219" spans="2:5" x14ac:dyDescent="0.25">
      <c r="B219" s="1" t="str">
        <f>("W00002424")</f>
        <v>W00002424</v>
      </c>
      <c r="C219" s="1" t="str">
        <f>("Radical innovation :how mature companies can outsmart upstarts /")</f>
        <v>Radical innovation :how mature companies can outsmart upstarts /</v>
      </c>
      <c r="D219" s="1" t="str">
        <f t="shared" si="7"/>
        <v>4F西文書庫 4F Western Language Books</v>
      </c>
      <c r="E219" s="1" t="str">
        <f>("HD58.87 L525 2000")</f>
        <v>HD58.87 L525 2000</v>
      </c>
    </row>
    <row r="220" spans="2:5" x14ac:dyDescent="0.25">
      <c r="B220" s="1" t="str">
        <f>("W00003218")</f>
        <v>W00003218</v>
      </c>
      <c r="C220" s="1" t="str">
        <f>("The reengineering revolution? :critical studies of corporate change /")</f>
        <v>The reengineering revolution? :critical studies of corporate change /</v>
      </c>
      <c r="D220" s="1" t="str">
        <f t="shared" si="7"/>
        <v>4F西文書庫 4F Western Language Books</v>
      </c>
      <c r="E220" s="1" t="str">
        <f>("HD58.87 R327 2000")</f>
        <v>HD58.87 R327 2000</v>
      </c>
    </row>
    <row r="221" spans="2:5" x14ac:dyDescent="0.25">
      <c r="B221" s="1" t="str">
        <f>("W00002314")</f>
        <v>W00002314</v>
      </c>
      <c r="C221" s="1" t="str">
        <f>("The HR scorecard :linking people, strategy, and performance /")</f>
        <v>The HR scorecard :linking people, strategy, and performance /</v>
      </c>
      <c r="D221" s="1" t="str">
        <f t="shared" si="7"/>
        <v>4F西文書庫 4F Western Language Books</v>
      </c>
      <c r="E221" s="1" t="str">
        <f>("HD58.9 B395 2001")</f>
        <v>HD58.9 B395 2001</v>
      </c>
    </row>
    <row r="222" spans="2:5" x14ac:dyDescent="0.25">
      <c r="B222" s="1" t="str">
        <f>("W00002212")</f>
        <v>W00002212</v>
      </c>
      <c r="C222" s="1" t="str">
        <f>("The passion plan at work : building a passion-driven organization / ")</f>
        <v xml:space="preserve">The passion plan at work : building a passion-driven organization / </v>
      </c>
      <c r="D222" s="1" t="str">
        <f t="shared" si="7"/>
        <v>4F西文書庫 4F Western Language Books</v>
      </c>
      <c r="E222" s="1" t="str">
        <f>("HD58.9 C454 2001")</f>
        <v>HD58.9 C454 2001</v>
      </c>
    </row>
    <row r="223" spans="2:5" x14ac:dyDescent="0.25">
      <c r="B223" s="1" t="str">
        <f>("W00002041")</f>
        <v>W00002041</v>
      </c>
      <c r="C223" s="1" t="str">
        <f>("50 companies that changed the world :incisive profiles of the 50 organizations, large and small, that have shaped the course of modern business /")</f>
        <v>50 companies that changed the world :incisive profiles of the 50 organizations, large and small, that have shaped the course of modern business /</v>
      </c>
      <c r="D223" s="1" t="str">
        <f t="shared" si="7"/>
        <v>4F西文書庫 4F Western Language Books</v>
      </c>
      <c r="E223" s="1" t="str">
        <f>("HD58.9 R845 2001")</f>
        <v>HD58.9 R845 2001</v>
      </c>
    </row>
    <row r="224" spans="2:5" x14ac:dyDescent="0.25">
      <c r="B224" s="1" t="str">
        <f>("W00002276")</f>
        <v>W00002276</v>
      </c>
      <c r="C224" s="1" t="str">
        <f>("Running a public relations department/ ")</f>
        <v xml:space="preserve">Running a public relations department/ </v>
      </c>
      <c r="D224" s="1" t="str">
        <f t="shared" si="7"/>
        <v>4F西文書庫 4F Western Language Books</v>
      </c>
      <c r="E224" s="1" t="str">
        <f>("HD59 B68 2001")</f>
        <v>HD59 B68 2001</v>
      </c>
    </row>
    <row r="225" spans="2:9" x14ac:dyDescent="0.25">
      <c r="B225" s="1" t="str">
        <f>("W00003091")</f>
        <v>W00003091</v>
      </c>
      <c r="C225" s="1" t="str">
        <f>("Press here! :managing the media for free publicity /")</f>
        <v>Press here! :managing the media for free publicity /</v>
      </c>
      <c r="D225" s="1" t="str">
        <f t="shared" si="7"/>
        <v>4F西文書庫 4F Western Language Books</v>
      </c>
      <c r="E225" s="1" t="str">
        <f>("HD59 G981 1998")</f>
        <v>HD59 G981 1998</v>
      </c>
    </row>
    <row r="226" spans="2:9" x14ac:dyDescent="0.25">
      <c r="B226" s="1" t="str">
        <f>("W00002042")</f>
        <v>W00002042</v>
      </c>
      <c r="C226" s="1" t="str">
        <f>("Creating corporate reputations :identity, image, and performance /")</f>
        <v>Creating corporate reputations :identity, image, and performance /</v>
      </c>
      <c r="D226" s="1" t="str">
        <f t="shared" si="7"/>
        <v>4F西文書庫 4F Western Language Books</v>
      </c>
      <c r="E226" s="1" t="str">
        <f>("HD59.2 D747 2001")</f>
        <v>HD59.2 D747 2001</v>
      </c>
    </row>
    <row r="227" spans="2:9" x14ac:dyDescent="0.25">
      <c r="B227" s="1" t="str">
        <f>("W00002265")</f>
        <v>W00002265</v>
      </c>
      <c r="C227" s="1" t="str">
        <f>("Urban land economics/")</f>
        <v>Urban land economics/</v>
      </c>
      <c r="D227" s="1" t="str">
        <f t="shared" si="7"/>
        <v>4F西文書庫 4F Western Language Books</v>
      </c>
      <c r="E227" s="1" t="str">
        <f>("HD598 H341 2000")</f>
        <v>HD598 H341 2000</v>
      </c>
    </row>
    <row r="228" spans="2:9" x14ac:dyDescent="0.25">
      <c r="B228" s="1" t="str">
        <f>("W00002564")</f>
        <v>W00002564</v>
      </c>
      <c r="C228" s="1" t="str">
        <f>("Business, public policy, and society /")</f>
        <v>Business, public policy, and society /</v>
      </c>
      <c r="D228" s="1" t="str">
        <f t="shared" si="7"/>
        <v>4F西文書庫 4F Western Language Books</v>
      </c>
      <c r="E228" s="1" t="str">
        <f>("HD60 L638 2000")</f>
        <v>HD60 L638 2000</v>
      </c>
      <c r="G228" s="1" t="str">
        <f>("xxix, 615 p. :")</f>
        <v>xxix, 615 p. :</v>
      </c>
      <c r="H228" s="1" t="str">
        <f>("ill. ;")</f>
        <v>ill. ;</v>
      </c>
      <c r="I228" s="1" t="str">
        <f>("26 cm ")</f>
        <v xml:space="preserve">26 cm </v>
      </c>
    </row>
    <row r="229" spans="2:9" x14ac:dyDescent="0.25">
      <c r="B229" s="1" t="str">
        <f>("W00003220")</f>
        <v>W00003220</v>
      </c>
      <c r="C229" s="1" t="str">
        <f>("Citizen brandshow good business can be good for business /")</f>
        <v>Citizen brandshow good business can be good for business /</v>
      </c>
      <c r="D229" s="1" t="str">
        <f t="shared" si="7"/>
        <v>4F西文書庫 4F Western Language Books</v>
      </c>
      <c r="E229" s="1" t="str">
        <f>("HD60 W738 2001")</f>
        <v>HD60 W738 2001</v>
      </c>
    </row>
    <row r="230" spans="2:9" x14ac:dyDescent="0.25">
      <c r="B230" s="1" t="str">
        <f>("W00002051")</f>
        <v>W00002051</v>
      </c>
      <c r="C230" s="1" t="str">
        <f>("Career Frontiers:New Conceptions of Working Lives")</f>
        <v>Career Frontiers:New Conceptions of Working Lives</v>
      </c>
      <c r="D230" s="1" t="str">
        <f t="shared" ref="D230:D239" si="8">("4F西文書庫 4F Western Language Books")</f>
        <v>4F西文書庫 4F Western Language Books</v>
      </c>
      <c r="E230" s="1" t="str">
        <f>("HD60.5 P377 2000")</f>
        <v>HD60.5 P377 2000</v>
      </c>
    </row>
    <row r="231" spans="2:9" x14ac:dyDescent="0.25">
      <c r="B231" s="1" t="str">
        <f>("W00002055")</f>
        <v>W00002055</v>
      </c>
      <c r="C231" s="1" t="str">
        <f>("Common interest, common good :creating value through business and social sector partnerships /")</f>
        <v>Common interest, common good :creating value through business and social sector partnerships /</v>
      </c>
      <c r="D231" s="1" t="str">
        <f t="shared" si="8"/>
        <v>4F西文書庫 4F Western Language Books</v>
      </c>
      <c r="E231" s="1" t="str">
        <f>("HD60.5.U5 S129 1999")</f>
        <v>HD60.5.U5 S129 1999</v>
      </c>
      <c r="G231" s="1" t="str">
        <f>("xxv, 278 p. ;")</f>
        <v>xxv, 278 p. ;</v>
      </c>
      <c r="I231" s="1" t="str">
        <f>("24 cm. ")</f>
        <v xml:space="preserve">24 cm. </v>
      </c>
    </row>
    <row r="232" spans="2:9" x14ac:dyDescent="0.25">
      <c r="B232" s="1" t="str">
        <f>("W00002290")</f>
        <v>W00002290</v>
      </c>
      <c r="C232" s="1" t="str">
        <f>("Root cause analysis :simplified tools and techniques /")</f>
        <v>Root cause analysis :simplified tools and techniques /</v>
      </c>
      <c r="D232" s="1" t="str">
        <f t="shared" si="8"/>
        <v>4F西文書庫 4F Western Language Books</v>
      </c>
      <c r="E232" s="1" t="str">
        <f>("HD62.15 A544 2000")</f>
        <v>HD62.15 A544 2000</v>
      </c>
      <c r="G232" s="1" t="str">
        <f>("x, 155 p. :")</f>
        <v>x, 155 p. :</v>
      </c>
      <c r="H232" s="1" t="str">
        <f>("ill. ;")</f>
        <v>ill. ;</v>
      </c>
      <c r="I232" s="1" t="str">
        <f>("28 cm. ")</f>
        <v xml:space="preserve">28 cm. </v>
      </c>
    </row>
    <row r="233" spans="2:9" x14ac:dyDescent="0.25">
      <c r="B233" s="1" t="str">
        <f>("W00002418")</f>
        <v>W00002418</v>
      </c>
      <c r="C233" s="1" t="str">
        <f>("Assessing business excellence :a guide to self-assessment /")</f>
        <v>Assessing business excellence :a guide to self-assessment /</v>
      </c>
      <c r="D233" s="1" t="str">
        <f t="shared" si="8"/>
        <v>4F西文書庫 4F Western Language Books</v>
      </c>
      <c r="E233" s="1" t="str">
        <f>("HD62.15 P844 1998")</f>
        <v>HD62.15 P844 1998</v>
      </c>
    </row>
    <row r="234" spans="2:9" x14ac:dyDescent="0.25">
      <c r="B234" s="1" t="str">
        <f>("W00003202")</f>
        <v>W00003202</v>
      </c>
      <c r="C234" s="1" t="str">
        <f>("Winning the technology talent war :a manager's guide to recruiting and retaining tech workers in a dot-com world /")</f>
        <v>Winning the technology talent war :a manager's guide to recruiting and retaining tech workers in a dot-com world /</v>
      </c>
      <c r="D234" s="1" t="str">
        <f t="shared" si="8"/>
        <v>4F西文書庫 4F Western Language Books</v>
      </c>
      <c r="E234" s="1" t="str">
        <f>("HD62.37 B821 2001")</f>
        <v>HD62.37 B821 2001</v>
      </c>
    </row>
    <row r="235" spans="2:9" x14ac:dyDescent="0.25">
      <c r="B235" s="1" t="str">
        <f>("W00002338")</f>
        <v>W00002338</v>
      </c>
      <c r="C235" s="1" t="str">
        <f>("The technology leaders : how America's most profitable high-tech companies innovate their way to success / ")</f>
        <v xml:space="preserve">The technology leaders : how America's most profitable high-tech companies innovate their way to success / </v>
      </c>
      <c r="D235" s="1" t="str">
        <f t="shared" si="8"/>
        <v>4F西文書庫 4F Western Language Books</v>
      </c>
      <c r="E235" s="1" t="str">
        <f>("HD62.37 C678 1997")</f>
        <v>HD62.37 C678 1997</v>
      </c>
    </row>
    <row r="236" spans="2:9" x14ac:dyDescent="0.25">
      <c r="B236" s="1" t="str">
        <f>("W00002423")</f>
        <v>W00002423</v>
      </c>
      <c r="C236" s="1" t="str">
        <f>("101 best home businesses /")</f>
        <v>101 best home businesses /</v>
      </c>
      <c r="D236" s="1" t="str">
        <f t="shared" si="8"/>
        <v>4F西文書庫 4F Western Language Books</v>
      </c>
      <c r="E236" s="1" t="str">
        <f>("HD62.38 R183 2001")</f>
        <v>HD62.38 R183 2001</v>
      </c>
    </row>
    <row r="237" spans="2:9" x14ac:dyDescent="0.25">
      <c r="B237" s="1" t="str">
        <f>("W00002280")</f>
        <v>W00002280</v>
      </c>
      <c r="C237" s="1" t="str">
        <f>("Managing International Joint Ventures@bThe Route to globalizing your business")</f>
        <v>Managing International Joint Ventures@bThe Route to globalizing your business</v>
      </c>
      <c r="D237" s="1" t="str">
        <f t="shared" si="8"/>
        <v>4F西文書庫 4F Western Language Books</v>
      </c>
      <c r="E237" s="1" t="str">
        <f>("HD62.4 C638 2001")</f>
        <v>HD62.4 C638 2001</v>
      </c>
    </row>
    <row r="238" spans="2:9" x14ac:dyDescent="0.25">
      <c r="B238" s="1" t="str">
        <f>("W00002242")</f>
        <v>W00002242</v>
      </c>
      <c r="C238" s="1" t="str">
        <f>("Global and transnational business :strategy and management /")</f>
        <v>Global and transnational business :strategy and management /</v>
      </c>
      <c r="D238" s="1" t="str">
        <f t="shared" si="8"/>
        <v>4F西文書庫 4F Western Language Books</v>
      </c>
      <c r="E238" s="1" t="str">
        <f>("HD62.4 G562 2000")</f>
        <v>HD62.4 G562 2000</v>
      </c>
      <c r="G238" s="1" t="str">
        <f>("xvi, 463 p. :")</f>
        <v>xvi, 463 p. :</v>
      </c>
      <c r="H238" s="1" t="str">
        <f>("ill. ;")</f>
        <v>ill. ;</v>
      </c>
      <c r="I238" s="1" t="str">
        <f>("25 cm ")</f>
        <v xml:space="preserve">25 cm </v>
      </c>
    </row>
    <row r="239" spans="2:9" x14ac:dyDescent="0.25">
      <c r="B239" s="1" t="str">
        <f>("W00002470")</f>
        <v>W00002470</v>
      </c>
      <c r="C239" s="1" t="str">
        <f>("International business :a managerial perspective /")</f>
        <v>International business :a managerial perspective /</v>
      </c>
      <c r="D239" s="1" t="str">
        <f t="shared" si="8"/>
        <v>4F西文書庫 4F Western Language Books</v>
      </c>
      <c r="E239" s="1" t="str">
        <f>("HD62.4 G851 1998")</f>
        <v>HD62.4 G851 1998</v>
      </c>
    </row>
    <row r="240" spans="2:9" x14ac:dyDescent="0.25">
      <c r="B240" s="1" t="str">
        <f>("W00002502")</f>
        <v>W00002502</v>
      </c>
      <c r="C240" s="1" t="str">
        <f>("International management :concepts &amp; cases /")</f>
        <v>International management :concepts &amp; cases /</v>
      </c>
      <c r="D240" s="1" t="str">
        <f>("罕用書庫1-洽櫃台填單 Upon-Request Collection1 fil")</f>
        <v>罕用書庫1-洽櫃台填單 Upon-Request Collection1 fil</v>
      </c>
      <c r="E240" s="1" t="str">
        <f>("HD62.4 P536 1997 c.2")</f>
        <v>HD62.4 P536 1997 c.2</v>
      </c>
      <c r="G240" s="1" t="str">
        <f>("xxii, 522 p. :")</f>
        <v>xxii, 522 p. :</v>
      </c>
      <c r="H240" s="1" t="str">
        <f>("ill., maps ;")</f>
        <v>ill., maps ;</v>
      </c>
      <c r="I240" s="1" t="str">
        <f>("24 cm. ")</f>
        <v xml:space="preserve">24 cm. </v>
      </c>
    </row>
    <row r="241" spans="2:9" x14ac:dyDescent="0.25">
      <c r="B241" s="1" t="str">
        <f>("W00003107")</f>
        <v>W00003107</v>
      </c>
      <c r="C241" s="1" t="str">
        <f>("International business : a strategic management approach / ")</f>
        <v xml:space="preserve">International business : a strategic management approach / </v>
      </c>
      <c r="D241" s="1" t="str">
        <f t="shared" ref="D241:D262" si="9">("4F西文書庫 4F Western Language Books")</f>
        <v>4F西文書庫 4F Western Language Books</v>
      </c>
      <c r="E241" s="1" t="str">
        <f>("HD62.4 R932 2000")</f>
        <v>HD62.4 R932 2000</v>
      </c>
      <c r="G241" s="1" t="str">
        <f>("xxvi, 637 p. : ")</f>
        <v xml:space="preserve">xxvi, 637 p. : </v>
      </c>
      <c r="H241" s="1" t="str">
        <f>("col. ill., col. maps ; ")</f>
        <v xml:space="preserve">col. ill., col. maps ; </v>
      </c>
      <c r="I241" s="1" t="str">
        <f>("24 cm. ")</f>
        <v xml:space="preserve">24 cm. </v>
      </c>
    </row>
    <row r="242" spans="2:9" x14ac:dyDescent="0.25">
      <c r="B242" s="1" t="str">
        <f>("W00002557")</f>
        <v>W00002557</v>
      </c>
      <c r="C242" s="1" t="str">
        <f>("Strategic management in the global economy / ")</f>
        <v xml:space="preserve">Strategic management in the global economy / </v>
      </c>
      <c r="D242" s="1" t="str">
        <f t="shared" si="9"/>
        <v>4F西文書庫 4F Western Language Books</v>
      </c>
      <c r="E242" s="1" t="str">
        <f>("HD62.4 V483 1997")</f>
        <v>HD62.4 V483 1997</v>
      </c>
    </row>
    <row r="243" spans="2:9" x14ac:dyDescent="0.25">
      <c r="B243" s="1" t="str">
        <f>("W00002177")</f>
        <v>W00002177</v>
      </c>
      <c r="C243" s="1" t="str">
        <f>("Entrepreneurship: globalization, innovation and development / ")</f>
        <v xml:space="preserve">Entrepreneurship: globalization, innovation and development / </v>
      </c>
      <c r="D243" s="1" t="str">
        <f t="shared" si="9"/>
        <v>4F西文書庫 4F Western Language Books</v>
      </c>
      <c r="E243" s="1" t="str">
        <f>("HD62.5 C516 2001")</f>
        <v>HD62.5 C516 2001</v>
      </c>
    </row>
    <row r="244" spans="2:9" x14ac:dyDescent="0.25">
      <c r="B244" s="1" t="str">
        <f>("W00002052")</f>
        <v>W00002052</v>
      </c>
      <c r="C244" s="1" t="str">
        <f>("Handbook for new entrepreneurs /")</f>
        <v>Handbook for new entrepreneurs /</v>
      </c>
      <c r="D244" s="1" t="str">
        <f t="shared" si="9"/>
        <v>4F西文書庫 4F Western Language Books</v>
      </c>
      <c r="E244" s="1" t="str">
        <f>("HD62.5 J11 1998")</f>
        <v>HD62.5 J11 1998</v>
      </c>
    </row>
    <row r="245" spans="2:9" x14ac:dyDescent="0.25">
      <c r="B245" s="1" t="str">
        <f>("W00002110")</f>
        <v>W00002110</v>
      </c>
      <c r="C245" s="1" t="str">
        <f>("Entrepreneurial marketing : lessons from wharton's pioneering MBA course / ")</f>
        <v xml:space="preserve">Entrepreneurial marketing : lessons from wharton's pioneering MBA course / </v>
      </c>
      <c r="D245" s="1" t="str">
        <f t="shared" si="9"/>
        <v>4F西文書庫 4F Western Language Books</v>
      </c>
      <c r="E245" s="1" t="str">
        <f>("HD62.5 L823 2001")</f>
        <v>HD62.5 L823 2001</v>
      </c>
    </row>
    <row r="246" spans="2:9" x14ac:dyDescent="0.25">
      <c r="B246" s="1" t="str">
        <f>("W00002500")</f>
        <v>W00002500</v>
      </c>
      <c r="C246" s="1" t="str">
        <f>("Entrepreneurial finance /")</f>
        <v>Entrepreneurial finance /</v>
      </c>
      <c r="D246" s="1" t="str">
        <f t="shared" si="9"/>
        <v>4F西文書庫 4F Western Language Books</v>
      </c>
      <c r="E246" s="1" t="str">
        <f>("HD62.5 S643 2000")</f>
        <v>HD62.5 S643 2000</v>
      </c>
      <c r="G246" s="1" t="str">
        <f>("xviii, 638 p. :")</f>
        <v>xviii, 638 p. :</v>
      </c>
      <c r="H246" s="1" t="str">
        <f>("ill. (some col.) ;")</f>
        <v>ill. (some col.) ;</v>
      </c>
      <c r="I246" s="1" t="str">
        <f>("25 cm ")</f>
        <v xml:space="preserve">25 cm </v>
      </c>
    </row>
    <row r="247" spans="2:9" x14ac:dyDescent="0.25">
      <c r="B247" s="1" t="str">
        <f>("W00002368")</f>
        <v>W00002368</v>
      </c>
      <c r="C247" s="1" t="str">
        <f>("Start up : an entrepreneur's guide to launching and managing a new business / ")</f>
        <v xml:space="preserve">Start up : an entrepreneur's guide to launching and managing a new business / </v>
      </c>
      <c r="D247" s="1" t="str">
        <f t="shared" si="9"/>
        <v>4F西文書庫 4F Western Language Books</v>
      </c>
      <c r="E247" s="1" t="str">
        <f>("HD62.5 S875 1999")</f>
        <v>HD62.5 S875 1999</v>
      </c>
    </row>
    <row r="248" spans="2:9" x14ac:dyDescent="0.25">
      <c r="B248" s="1" t="str">
        <f>("W00002389")</f>
        <v>W00002389</v>
      </c>
      <c r="C248" s="1" t="str">
        <f>("Person-centered leadership for non profit organizations :management that works in high pressure systems /")</f>
        <v>Person-centered leadership for non profit organizations :management that works in high pressure systems /</v>
      </c>
      <c r="D248" s="1" t="str">
        <f t="shared" si="9"/>
        <v>4F西文書庫 4F Western Language Books</v>
      </c>
      <c r="E248" s="1" t="str">
        <f>("HD62.6 P715 2001")</f>
        <v>HD62.6 P715 2001</v>
      </c>
    </row>
    <row r="249" spans="2:9" x14ac:dyDescent="0.25">
      <c r="B249" s="1" t="str">
        <f>("W00002417")</f>
        <v>W00002417</v>
      </c>
      <c r="C249" s="1" t="str">
        <f>("Let's go into business together :8 secrets to successful business partnering /")</f>
        <v>Let's go into business together :8 secrets to successful business partnering /</v>
      </c>
      <c r="D249" s="1" t="str">
        <f t="shared" si="9"/>
        <v>4F西文書庫 4F Western Language Books</v>
      </c>
      <c r="E249" s="1" t="str">
        <f>("HD62.7 J23 2001")</f>
        <v>HD62.7 J23 2001</v>
      </c>
    </row>
    <row r="250" spans="2:9" x14ac:dyDescent="0.25">
      <c r="B250" s="1" t="str">
        <f>("W00002554")</f>
        <v>W00002554</v>
      </c>
      <c r="C250" s="1" t="str">
        <f>("Small business management : an entrepreneurial emphasis / ")</f>
        <v xml:space="preserve">Small business management : an entrepreneurial emphasis / </v>
      </c>
      <c r="D250" s="1" t="str">
        <f t="shared" si="9"/>
        <v>4F西文書庫 4F Western Language Books</v>
      </c>
      <c r="E250" s="1" t="str">
        <f>("HD62.7 L852 2000")</f>
        <v>HD62.7 L852 2000</v>
      </c>
      <c r="G250" s="1" t="str">
        <f>("xxxi, 701 p. : ")</f>
        <v xml:space="preserve">xxxi, 701 p. : </v>
      </c>
      <c r="H250" s="1" t="str">
        <f>("col.ill. ; ")</f>
        <v xml:space="preserve">col.ill. ; </v>
      </c>
      <c r="I250" s="1" t="str">
        <f>("26 cm. ")</f>
        <v xml:space="preserve">26 cm. </v>
      </c>
    </row>
    <row r="251" spans="2:9" x14ac:dyDescent="0.25">
      <c r="B251" s="1" t="str">
        <f>("W00002392")</f>
        <v>W00002392</v>
      </c>
      <c r="C251" s="1" t="str">
        <f>("50 powerful ways to win new customers :fast, simple, inexpensive, profitable, and proven ideas you can use starting today! /")</f>
        <v>50 powerful ways to win new customers :fast, simple, inexpensive, profitable, and proven ideas you can use starting today! /</v>
      </c>
      <c r="D251" s="1" t="str">
        <f t="shared" si="9"/>
        <v>4F西文書庫 4F Western Language Books</v>
      </c>
      <c r="E251" s="1" t="str">
        <f>("HD62.7 T584 1997")</f>
        <v>HD62.7 T584 1997</v>
      </c>
    </row>
    <row r="252" spans="2:9" x14ac:dyDescent="0.25">
      <c r="B252" s="1" t="str">
        <f>("W00003157")</f>
        <v>W00003157</v>
      </c>
      <c r="C252" s="1" t="str">
        <f>("The graduate career handbook :making the right start for a bright future /")</f>
        <v>The graduate career handbook :making the right start for a bright future /</v>
      </c>
      <c r="D252" s="1" t="str">
        <f t="shared" si="9"/>
        <v>4F西文書庫 4F Western Language Books</v>
      </c>
      <c r="E252" s="1" t="str">
        <f>("HD6278.G7 J54 2000")</f>
        <v>HD6278.G7 J54 2000</v>
      </c>
    </row>
    <row r="253" spans="2:9" x14ac:dyDescent="0.25">
      <c r="B253" s="1" t="str">
        <f>("W00002133")</f>
        <v>W00002133</v>
      </c>
      <c r="C253" s="1" t="str">
        <f>("More games teams play :activities and games for powering up your team's potential /")</f>
        <v>More games teams play :activities and games for powering up your team's potential /</v>
      </c>
      <c r="D253" s="1" t="str">
        <f t="shared" si="9"/>
        <v>4F西文書庫 4F Western Language Books</v>
      </c>
      <c r="E253" s="1" t="str">
        <f>("HD66 B458 2000")</f>
        <v>HD66 B458 2000</v>
      </c>
      <c r="G253" s="1" t="str">
        <f>("xix, 351 p. :")</f>
        <v>xix, 351 p. :</v>
      </c>
      <c r="H253" s="1" t="str">
        <f>("ill. ;")</f>
        <v>ill. ;</v>
      </c>
      <c r="I253" s="1" t="str">
        <f>("28-30 cm ")</f>
        <v xml:space="preserve">28-30 cm </v>
      </c>
    </row>
    <row r="254" spans="2:9" x14ac:dyDescent="0.25">
      <c r="B254" s="1" t="str">
        <f>("W00002420")</f>
        <v>W00002420</v>
      </c>
      <c r="C254" s="1" t="str">
        <f>("Winning teams :making your team productive &amp; successful /")</f>
        <v>Winning teams :making your team productive &amp; successful /</v>
      </c>
      <c r="D254" s="1" t="str">
        <f t="shared" si="9"/>
        <v>4F西文書庫 4F Western Language Books</v>
      </c>
      <c r="E254" s="1" t="str">
        <f>("HD66 C237 1998")</f>
        <v>HD66 C237 1998</v>
      </c>
    </row>
    <row r="255" spans="2:9" x14ac:dyDescent="0.25">
      <c r="B255" s="1" t="str">
        <f>("W00002203")</f>
        <v>W00002203</v>
      </c>
      <c r="C255" s="1" t="str">
        <f>("Mastering virtual teams : strategies, tools, and techniques that succeed / ")</f>
        <v xml:space="preserve">Mastering virtual teams : strategies, tools, and techniques that succeed / </v>
      </c>
      <c r="D255" s="1" t="str">
        <f t="shared" si="9"/>
        <v>4F西文書庫 4F Western Language Books</v>
      </c>
      <c r="E255" s="1" t="str">
        <f>("HD66 D812-2 2001")</f>
        <v>HD66 D812-2 2001</v>
      </c>
    </row>
    <row r="256" spans="2:9" x14ac:dyDescent="0.25">
      <c r="B256" s="1" t="str">
        <f>("W00002446")</f>
        <v>W00002446</v>
      </c>
      <c r="C256" s="1" t="str">
        <f>("Keeping the team going :a tool kit to renew &amp; refuel your workplace teams /")</f>
        <v>Keeping the team going :a tool kit to renew &amp; refuel your workplace teams /</v>
      </c>
      <c r="D256" s="1" t="str">
        <f t="shared" si="9"/>
        <v>4F西文書庫 4F Western Language Books</v>
      </c>
      <c r="E256" s="1" t="str">
        <f>("HD66 H158 1996")</f>
        <v>HD66 H158 1996</v>
      </c>
    </row>
    <row r="257" spans="2:9" x14ac:dyDescent="0.25">
      <c r="B257" s="1" t="str">
        <f>("W00003150")</f>
        <v>W00003150</v>
      </c>
      <c r="C257" s="1" t="str">
        <f>("Build a great team! /")</f>
        <v>Build a great team! /</v>
      </c>
      <c r="D257" s="1" t="str">
        <f t="shared" si="9"/>
        <v>4F西文書庫 4F Western Language Books</v>
      </c>
      <c r="E257" s="1" t="str">
        <f>("HD66 J42 2000")</f>
        <v>HD66 J42 2000</v>
      </c>
    </row>
    <row r="258" spans="2:9" x14ac:dyDescent="0.25">
      <c r="B258" s="1" t="str">
        <f>("W00003060")</f>
        <v>W00003060</v>
      </c>
      <c r="C258" s="1" t="str">
        <f>("Kaizen strategies for improving team performance :how to accelerate team development and enhance team productivity /")</f>
        <v>Kaizen strategies for improving team performance :how to accelerate team development and enhance team productivity /</v>
      </c>
      <c r="D258" s="1" t="str">
        <f t="shared" si="9"/>
        <v>4F西文書庫 4F Western Language Books</v>
      </c>
      <c r="E258" s="1" t="str">
        <f>("HD66 K13 2000")</f>
        <v>HD66 K13 2000</v>
      </c>
    </row>
    <row r="259" spans="2:9" x14ac:dyDescent="0.25">
      <c r="B259" s="1" t="str">
        <f>("W00003055")</f>
        <v>W00003055</v>
      </c>
      <c r="C259" s="1" t="str">
        <f>("How to lead a winning team /")</f>
        <v>How to lead a winning team /</v>
      </c>
      <c r="D259" s="1" t="str">
        <f t="shared" si="9"/>
        <v>4F西文書庫 4F Western Language Books</v>
      </c>
      <c r="E259" s="1" t="str">
        <f>("HD66 M877 2000")</f>
        <v>HD66 M877 2000</v>
      </c>
    </row>
    <row r="260" spans="2:9" x14ac:dyDescent="0.25">
      <c r="B260" s="1" t="str">
        <f>("W00002090")</f>
        <v>W00002090</v>
      </c>
      <c r="C260" s="1" t="str">
        <f>("Computer supported cooperative work :Issues and implications for workers, organizations, and human resource management/ ")</f>
        <v xml:space="preserve">Computer supported cooperative work :Issues and implications for workers, organizations, and human resource management/ </v>
      </c>
      <c r="D260" s="1" t="str">
        <f t="shared" si="9"/>
        <v>4F西文書庫 4F Western Language Books</v>
      </c>
      <c r="E260" s="1" t="str">
        <f>("HD66.2 C767 2001")</f>
        <v>HD66.2 C767 2001</v>
      </c>
    </row>
    <row r="261" spans="2:9" x14ac:dyDescent="0.25">
      <c r="B261" s="1" t="str">
        <f>("W00003146")</f>
        <v>W00003146</v>
      </c>
      <c r="C261" s="1" t="str">
        <f>("Virtual teams :people working across boundaries with technology /")</f>
        <v>Virtual teams :people working across boundaries with technology /</v>
      </c>
      <c r="D261" s="1" t="str">
        <f t="shared" si="9"/>
        <v>4F西文書庫 4F Western Language Books</v>
      </c>
      <c r="E261" s="1" t="str">
        <f>("HD66.2 L764 2000")</f>
        <v>HD66.2 L764 2000</v>
      </c>
    </row>
    <row r="262" spans="2:9" x14ac:dyDescent="0.25">
      <c r="B262" s="1" t="str">
        <f>("W00003127")</f>
        <v>W00003127</v>
      </c>
      <c r="C262" s="1" t="str">
        <f>("Brand warfare :10 rules for building the killer brand : lessons for new and old economy players /")</f>
        <v>Brand warfare :10 rules for building the killer brand : lessons for new and old economy players /</v>
      </c>
      <c r="D262" s="1" t="str">
        <f t="shared" si="9"/>
        <v>4F西文書庫 4F Western Language Books</v>
      </c>
      <c r="E262" s="1" t="str">
        <f>("HD69.B7 D141 2001")</f>
        <v>HD69.B7 D141 2001</v>
      </c>
    </row>
    <row r="263" spans="2:9" x14ac:dyDescent="0.25">
      <c r="B263" s="1" t="str">
        <f>("W00002455")</f>
        <v>W00002455</v>
      </c>
      <c r="C263" s="1" t="str">
        <f>("Brand asset management :driving profitable growth through your brands /")</f>
        <v>Brand asset management :driving profitable growth through your brands /</v>
      </c>
      <c r="D263" s="1" t="str">
        <f>("罕用書庫1-洽櫃台填單 Upon-Request Collection1 fil")</f>
        <v>罕用書庫1-洽櫃台填單 Upon-Request Collection1 fil</v>
      </c>
      <c r="E263" s="1" t="str">
        <f>("HD69.B7 D264 2000 c.2")</f>
        <v>HD69.B7 D264 2000 c.2</v>
      </c>
      <c r="G263" s="1" t="str">
        <f>("xvi, 265 p. :")</f>
        <v>xvi, 265 p. :</v>
      </c>
      <c r="H263" s="1" t="str">
        <f>("ill. ;")</f>
        <v>ill. ;</v>
      </c>
      <c r="I263" s="1" t="str">
        <f>("24 cm. ")</f>
        <v xml:space="preserve">24 cm. </v>
      </c>
    </row>
    <row r="264" spans="2:9" x14ac:dyDescent="0.25">
      <c r="B264" s="1" t="str">
        <f>("W00003110")</f>
        <v>W00003110</v>
      </c>
      <c r="C264" s="1" t="str">
        <f>("Living the brand :how to transform every member of your organization into a brand champion /")</f>
        <v>Living the brand :how to transform every member of your organization into a brand champion /</v>
      </c>
      <c r="D264" s="1" t="str">
        <f t="shared" ref="D264:D272" si="10">("4F西文書庫 4F Western Language Books")</f>
        <v>4F西文書庫 4F Western Language Books</v>
      </c>
      <c r="E264" s="1" t="str">
        <f>("HD69.B7 I38 2001")</f>
        <v>HD69.B7 I38 2001</v>
      </c>
    </row>
    <row r="265" spans="2:9" x14ac:dyDescent="0.25">
      <c r="B265" s="1" t="str">
        <f>("W00002283")</f>
        <v>W00002283</v>
      </c>
      <c r="C265" s="1" t="str">
        <f>("Branding :a practical guide to planning your strategy /")</f>
        <v>Branding :a practical guide to planning your strategy /</v>
      </c>
      <c r="D265" s="1" t="str">
        <f t="shared" si="10"/>
        <v>4F西文書庫 4F Western Language Books</v>
      </c>
      <c r="E265" s="1" t="str">
        <f>("HD69.B7 R188 2000")</f>
        <v>HD69.B7 R188 2000</v>
      </c>
    </row>
    <row r="266" spans="2:9" x14ac:dyDescent="0.25">
      <c r="B266" s="1" t="str">
        <f>("W00002443")</f>
        <v>W00002443</v>
      </c>
      <c r="C266" s="1" t="str">
        <f>("Getting started in computer consulting / ")</f>
        <v xml:space="preserve">Getting started in computer consulting / </v>
      </c>
      <c r="D266" s="1" t="str">
        <f t="shared" si="10"/>
        <v>4F西文書庫 4F Western Language Books</v>
      </c>
      <c r="E266" s="1" t="str">
        <f>("HD69.C6 M613 2000")</f>
        <v>HD69.C6 M613 2000</v>
      </c>
      <c r="G266" s="1" t="str">
        <f>("xiii, 258 p. ; ")</f>
        <v xml:space="preserve">xiii, 258 p. ; </v>
      </c>
      <c r="I266" s="1" t="str">
        <f>("24 cm. ")</f>
        <v xml:space="preserve">24 cm. </v>
      </c>
    </row>
    <row r="267" spans="2:9" x14ac:dyDescent="0.25">
      <c r="B267" s="1" t="str">
        <f>("W00003226")</f>
        <v>W00003226</v>
      </c>
      <c r="C267" s="1" t="str">
        <f>("Principles of management for quality projects /")</f>
        <v>Principles of management for quality projects /</v>
      </c>
      <c r="D267" s="1" t="str">
        <f t="shared" si="10"/>
        <v>4F西文書庫 4F Western Language Books</v>
      </c>
      <c r="E267" s="1" t="str">
        <f>("HD69.P75 C319 1999")</f>
        <v>HD69.P75 C319 1999</v>
      </c>
    </row>
    <row r="268" spans="2:9" x14ac:dyDescent="0.25">
      <c r="B268" s="1" t="str">
        <f>("W00002786")</f>
        <v>W00002786</v>
      </c>
      <c r="C268" s="1" t="str">
        <f>("Project management :best practices for IT professionals /")</f>
        <v>Project management :best practices for IT professionals /</v>
      </c>
      <c r="D268" s="1" t="str">
        <f t="shared" si="10"/>
        <v>4F西文書庫 4F Western Language Books</v>
      </c>
      <c r="E268" s="1" t="str">
        <f>("HD69.P75 M973 2000")</f>
        <v>HD69.P75 M973 2000</v>
      </c>
    </row>
    <row r="269" spans="2:9" x14ac:dyDescent="0.25">
      <c r="B269" s="1" t="str">
        <f>("W00003191")</f>
        <v>W00003191</v>
      </c>
      <c r="C269" s="1" t="str">
        <f>("Leading at the speed of change :using new economy rules to transform old-economy companies /")</f>
        <v>Leading at the speed of change :using new economy rules to transform old-economy companies /</v>
      </c>
      <c r="D269" s="1" t="str">
        <f t="shared" si="10"/>
        <v>4F西文書庫 4F Western Language Books</v>
      </c>
      <c r="E269" s="1" t="str">
        <f>("HD69.S8 C245 2001")</f>
        <v>HD69.S8 C245 2001</v>
      </c>
    </row>
    <row r="270" spans="2:9" x14ac:dyDescent="0.25">
      <c r="B270" s="1" t="str">
        <f>("W00002061")</f>
        <v>W00002061</v>
      </c>
      <c r="C270" s="1" t="str">
        <f>("Digital deals :strategies for selecting and structuring partnerships /")</f>
        <v>Digital deals :strategies for selecting and structuring partnerships /</v>
      </c>
      <c r="D270" s="1" t="str">
        <f t="shared" si="10"/>
        <v>4F西文書庫 4F Western Language Books</v>
      </c>
      <c r="E270" s="1" t="str">
        <f>("HD69.S8 G313 2001")</f>
        <v>HD69.S8 G313 2001</v>
      </c>
    </row>
    <row r="271" spans="2:9" x14ac:dyDescent="0.25">
      <c r="B271" s="1" t="str">
        <f>("W00002393")</f>
        <v>W00002393</v>
      </c>
      <c r="C271" s="1" t="str">
        <f>("101 ways to make every second count :time management tips and techniques for more success with less stress /")</f>
        <v>101 ways to make every second count :time management tips and techniques for more success with less stress /</v>
      </c>
      <c r="D271" s="1" t="str">
        <f t="shared" si="10"/>
        <v>4F西文書庫 4F Western Language Books</v>
      </c>
      <c r="E271" s="1" t="str">
        <f>("HD69.T4 B661 1999")</f>
        <v>HD69.T4 B661 1999</v>
      </c>
    </row>
    <row r="272" spans="2:9" x14ac:dyDescent="0.25">
      <c r="B272" s="1" t="str">
        <f>("W00003079")</f>
        <v>W00003079</v>
      </c>
      <c r="C272" s="1" t="str">
        <f>("First things first :how to manage your time for maximum performance /")</f>
        <v>First things first :how to manage your time for maximum performance /</v>
      </c>
      <c r="D272" s="1" t="str">
        <f t="shared" si="10"/>
        <v>4F西文書庫 4F Western Language Books</v>
      </c>
      <c r="E272" s="1" t="str">
        <f>("HD69.T54 F735 2000")</f>
        <v>HD69.T54 F735 2000</v>
      </c>
    </row>
    <row r="273" spans="2:9" x14ac:dyDescent="0.25">
      <c r="B273" s="1" t="str">
        <f>("W00002605")</f>
        <v>W00002605</v>
      </c>
      <c r="C273" s="1" t="str">
        <f>("Maximizing Outlook 2000 /")</f>
        <v>Maximizing Outlook 2000 /</v>
      </c>
      <c r="D273" s="1" t="str">
        <f>("罕用書庫1-洽櫃台填單 Upon-Request Collection1 fil")</f>
        <v>罕用書庫1-洽櫃台填單 Upon-Request Collection1 fil</v>
      </c>
      <c r="E273" s="1" t="str">
        <f>("HD69.T54 S594-2 2000 c.2")</f>
        <v>HD69.T54 S594-2 2000 c.2</v>
      </c>
      <c r="G273" s="1" t="str">
        <f>("xxiv, 696 p. :")</f>
        <v>xxiv, 696 p. :</v>
      </c>
      <c r="H273" s="1" t="str">
        <f>("ill. ;")</f>
        <v>ill. ;</v>
      </c>
      <c r="I273" s="1" t="str">
        <f>("24 cm ")</f>
        <v xml:space="preserve">24 cm </v>
      </c>
    </row>
    <row r="274" spans="2:9" x14ac:dyDescent="0.25">
      <c r="B274" s="1" t="str">
        <f>("W00002491")</f>
        <v>W00002491</v>
      </c>
      <c r="C274" s="1" t="str">
        <f>("Business /")</f>
        <v>Business /</v>
      </c>
      <c r="D274" s="1" t="str">
        <f t="shared" ref="D274:D305" si="11">("4F西文書庫 4F Western Language Books")</f>
        <v>4F西文書庫 4F Western Language Books</v>
      </c>
      <c r="E274" s="1" t="str">
        <f>("HD70.U5 P945-2 1999")</f>
        <v>HD70.U5 P945-2 1999</v>
      </c>
      <c r="G274" s="1" t="str">
        <f>("xxxi, 591, 86 p. :")</f>
        <v>xxxi, 591, 86 p. :</v>
      </c>
      <c r="H274" s="1" t="str">
        <f>("ill. (some col.) ;")</f>
        <v>ill. (some col.) ;</v>
      </c>
      <c r="I274" s="1" t="str">
        <f>("29 cm.")</f>
        <v>29 cm.</v>
      </c>
    </row>
    <row r="275" spans="2:9" x14ac:dyDescent="0.25">
      <c r="B275" s="1" t="str">
        <f>("W00003063")</f>
        <v>W00003063</v>
      </c>
      <c r="C275" s="1" t="str">
        <f>("Pension power :take control of your most valuable financial asset /")</f>
        <v>Pension power :take control of your most valuable financial asset /</v>
      </c>
      <c r="D275" s="1" t="str">
        <f t="shared" si="11"/>
        <v>4F西文書庫 4F Western Language Books</v>
      </c>
      <c r="E275" s="1" t="str">
        <f>("HD7096.G7 H318 1999")</f>
        <v>HD7096.G7 H318 1999</v>
      </c>
    </row>
    <row r="276" spans="2:9" x14ac:dyDescent="0.25">
      <c r="B276" s="1" t="str">
        <f>("W00003205")</f>
        <v>W00003205</v>
      </c>
      <c r="C276" s="1" t="str">
        <f>("Development economics :from the poverty to the wealth of nations /")</f>
        <v>Development economics :from the poverty to the wealth of nations /</v>
      </c>
      <c r="D276" s="1" t="str">
        <f t="shared" si="11"/>
        <v>4F西文書庫 4F Western Language Books</v>
      </c>
      <c r="E276" s="1" t="str">
        <f>("HD82 H413 2001")</f>
        <v>HD82 H413 2001</v>
      </c>
    </row>
    <row r="277" spans="2:9" x14ac:dyDescent="0.25">
      <c r="B277" s="1" t="str">
        <f>("W00002372")</f>
        <v>W00002372</v>
      </c>
      <c r="C277" s="1" t="str">
        <f>("Behind powerful brands : from strategy to campaign / ")</f>
        <v xml:space="preserve">Behind powerful brands : from strategy to campaign / </v>
      </c>
      <c r="D277" s="1" t="str">
        <f t="shared" si="11"/>
        <v>4F西文書庫 4F Western Language Books</v>
      </c>
      <c r="E277" s="1" t="str">
        <f>("HD9000 J77 2000")</f>
        <v>HD9000 J77 2000</v>
      </c>
      <c r="G277" s="1" t="str">
        <f>("xii, 322 p. : ")</f>
        <v xml:space="preserve">xii, 322 p. : </v>
      </c>
      <c r="H277" s="1" t="str">
        <f>("ill. (some col.) ; ")</f>
        <v xml:space="preserve">ill. (some col.) ; </v>
      </c>
      <c r="I277" s="1" t="str">
        <f>("24 cm. ")</f>
        <v xml:space="preserve">24 cm. </v>
      </c>
    </row>
    <row r="278" spans="2:9" x14ac:dyDescent="0.25">
      <c r="B278" s="1" t="str">
        <f>("W00003171")</f>
        <v>W00003171</v>
      </c>
      <c r="C278" s="1" t="str">
        <f>("Secrets of software success :management insights from 100 software firms around the world /")</f>
        <v>Secrets of software success :management insights from 100 software firms around the world /</v>
      </c>
      <c r="D278" s="1" t="str">
        <f t="shared" si="11"/>
        <v>4F西文書庫 4F Western Language Books</v>
      </c>
      <c r="E278" s="1" t="str">
        <f>("HD9696.63.A2 S446 2000")</f>
        <v>HD9696.63.A2 S446 2000</v>
      </c>
      <c r="G278" s="1" t="str">
        <f>("xix, 312 p. :")</f>
        <v>xix, 312 p. :</v>
      </c>
      <c r="H278" s="1" t="str">
        <f>("ill. ;")</f>
        <v>ill. ;</v>
      </c>
      <c r="I278" s="1" t="str">
        <f>("24 cm.")</f>
        <v>24 cm.</v>
      </c>
    </row>
    <row r="279" spans="2:9" x14ac:dyDescent="0.25">
      <c r="B279" s="1" t="str">
        <f>("W00003270")</f>
        <v>W00003270</v>
      </c>
      <c r="C279" s="1" t="str">
        <f>("Strategic management in information technology /")</f>
        <v>Strategic management in information technology /</v>
      </c>
      <c r="D279" s="1" t="str">
        <f t="shared" si="11"/>
        <v>4F西文書庫 4F Western Language Books</v>
      </c>
      <c r="E279" s="1" t="str">
        <f>("HD9696.C62 Y54 1994")</f>
        <v>HD9696.C62 Y54 1994</v>
      </c>
    </row>
    <row r="280" spans="2:9" x14ac:dyDescent="0.25">
      <c r="B280" s="1" t="str">
        <f>("W00003189")</f>
        <v>W00003189</v>
      </c>
      <c r="C280" s="1" t="str">
        <f>("Jack Welch and the GE way :management insights and leadership secrets of the legendary CEO /")</f>
        <v>Jack Welch and the GE way :management insights and leadership secrets of the legendary CEO /</v>
      </c>
      <c r="D280" s="1" t="str">
        <f t="shared" si="11"/>
        <v>4F西文書庫 4F Western Language Books</v>
      </c>
      <c r="E280" s="1" t="str">
        <f>("HD9697.A3 S631 1999")</f>
        <v>HD9697.A3 S631 1999</v>
      </c>
    </row>
    <row r="281" spans="2:9" x14ac:dyDescent="0.25">
      <c r="B281" s="1" t="str">
        <f>("W00003144")</f>
        <v>W00003144</v>
      </c>
      <c r="C281" s="1" t="str">
        <f>("The Nokia revolution :the story of an extraordinary company that transformed an industry /")</f>
        <v>The Nokia revolution :the story of an extraordinary company that transformed an industry /</v>
      </c>
      <c r="D281" s="1" t="str">
        <f t="shared" si="11"/>
        <v>4F西文書庫 4F Western Language Books</v>
      </c>
      <c r="E281" s="1" t="str">
        <f>("HD9697.T454 S819 2001")</f>
        <v>HD9697.T454 S819 2001</v>
      </c>
      <c r="G281" s="1" t="str">
        <f>("xxxvii,375p. :")</f>
        <v>xxxvii,375p. :</v>
      </c>
      <c r="H281" s="1" t="str">
        <f>("ill. ;")</f>
        <v>ill. ;</v>
      </c>
      <c r="I281" s="1" t="str">
        <f>("24 cm")</f>
        <v>24 cm</v>
      </c>
    </row>
    <row r="282" spans="2:9" x14ac:dyDescent="0.25">
      <c r="B282" s="1" t="str">
        <f>("W00003139")</f>
        <v>W00003139</v>
      </c>
      <c r="C282" s="1" t="str">
        <f>("More than a motorcycle :the leadership journey at Harley-Davidson /")</f>
        <v>More than a motorcycle :the leadership journey at Harley-Davidson /</v>
      </c>
      <c r="D282" s="1" t="str">
        <f t="shared" si="11"/>
        <v>4F西文書庫 4F Western Language Books</v>
      </c>
      <c r="E282" s="1" t="str">
        <f>("HD9710.5.U54 T258 2000")</f>
        <v>HD9710.5.U54 T258 2000</v>
      </c>
    </row>
    <row r="283" spans="2:9" x14ac:dyDescent="0.25">
      <c r="B283" s="1" t="str">
        <f>("W00003069")</f>
        <v>W00003069</v>
      </c>
      <c r="C283" s="1" t="str">
        <f>("The road to manufacturing success :common sense throughput solutions for small business /")</f>
        <v>The road to manufacturing success :common sense throughput solutions for small business /</v>
      </c>
      <c r="D283" s="1" t="str">
        <f t="shared" si="11"/>
        <v>4F西文書庫 4F Western Language Books</v>
      </c>
      <c r="E283" s="1" t="str">
        <f>("HD9720.5 L729 2001")</f>
        <v>HD9720.5 L729 2001</v>
      </c>
    </row>
    <row r="284" spans="2:9" x14ac:dyDescent="0.25">
      <c r="B284" s="1" t="str">
        <f>("W00002132")</f>
        <v>W00002132</v>
      </c>
      <c r="C284" s="1" t="str">
        <f>("New service development :creating memorable experiences /")</f>
        <v>New service development :creating memorable experiences /</v>
      </c>
      <c r="D284" s="1" t="str">
        <f t="shared" si="11"/>
        <v>4F西文書庫 4F Western Language Books</v>
      </c>
      <c r="E284" s="1" t="str">
        <f>("HD9980.5 F562-3 2000")</f>
        <v>HD9980.5 F562-3 2000</v>
      </c>
    </row>
    <row r="285" spans="2:9" x14ac:dyDescent="0.25">
      <c r="B285" s="1" t="str">
        <f>("W00002460")</f>
        <v>W00002460</v>
      </c>
      <c r="C285" s="1" t="str">
        <f>("Services marketing /")</f>
        <v>Services marketing /</v>
      </c>
      <c r="D285" s="1" t="str">
        <f t="shared" si="11"/>
        <v>4F西文書庫 4F Western Language Books</v>
      </c>
      <c r="E285" s="1" t="str">
        <f>("HD9980.5 K95 1998")</f>
        <v>HD9980.5 K95 1998</v>
      </c>
    </row>
    <row r="286" spans="2:9" x14ac:dyDescent="0.25">
      <c r="B286" s="1" t="str">
        <f>("W00003067")</f>
        <v>W00003067</v>
      </c>
      <c r="C286" s="1" t="str">
        <f>("The management and marketing of services / ")</f>
        <v xml:space="preserve">The management and marketing of services / </v>
      </c>
      <c r="D286" s="1" t="str">
        <f t="shared" si="11"/>
        <v>4F西文書庫 4F Western Language Books</v>
      </c>
      <c r="E286" s="1" t="str">
        <f>("HD9980.5 M945 1999")</f>
        <v>HD9980.5 M945 1999</v>
      </c>
      <c r="G286" s="1" t="str">
        <f>("x, 306 p. : ")</f>
        <v xml:space="preserve">x, 306 p. : </v>
      </c>
      <c r="H286" s="1" t="str">
        <f>("ill. ; ")</f>
        <v xml:space="preserve">ill. ; </v>
      </c>
      <c r="I286" s="1" t="str">
        <f>("24 cm. ")</f>
        <v xml:space="preserve">24 cm. </v>
      </c>
    </row>
    <row r="287" spans="2:9" x14ac:dyDescent="0.25">
      <c r="B287" s="1" t="str">
        <f>("W00002342")</f>
        <v>W00002342</v>
      </c>
      <c r="C287" s="1" t="str">
        <f>("Service management :strategy and leadership in service business /")</f>
        <v>Service management :strategy and leadership in service business /</v>
      </c>
      <c r="D287" s="1" t="str">
        <f t="shared" si="11"/>
        <v>4F西文書庫 4F Western Language Books</v>
      </c>
      <c r="E287" s="1" t="str">
        <f>("HD9980.5 N843 2000")</f>
        <v>HD9980.5 N843 2000</v>
      </c>
    </row>
    <row r="288" spans="2:9" x14ac:dyDescent="0.25">
      <c r="B288" s="1" t="str">
        <f>("W00002373")</f>
        <v>W00002373</v>
      </c>
      <c r="C288" s="1" t="str">
        <f>("Regulation and the nature of postal and delivery services /")</f>
        <v>Regulation and the nature of postal and delivery services /</v>
      </c>
      <c r="D288" s="1" t="str">
        <f t="shared" si="11"/>
        <v>4F西文書庫 4F Western Language Books</v>
      </c>
      <c r="E288" s="1" t="str">
        <f>("HE6011 D632 1999")</f>
        <v>HE6011 D632 1999</v>
      </c>
    </row>
    <row r="289" spans="2:9" x14ac:dyDescent="0.25">
      <c r="B289" s="1" t="str">
        <f>("W00002903")</f>
        <v>W00002903</v>
      </c>
      <c r="C289" s="1" t="str">
        <f>("Stopping spam  ")</f>
        <v xml:space="preserve">Stopping spam  </v>
      </c>
      <c r="D289" s="1" t="str">
        <f t="shared" si="11"/>
        <v>4F西文書庫 4F Western Language Books</v>
      </c>
      <c r="E289" s="1" t="str">
        <f>("HE7551 S399 1998")</f>
        <v>HE7551 S399 1998</v>
      </c>
    </row>
    <row r="290" spans="2:9" x14ac:dyDescent="0.25">
      <c r="B290" s="1" t="str">
        <f>("W00003124")</f>
        <v>W00003124</v>
      </c>
      <c r="C290" s="1" t="str">
        <f>("The invisible customer :strategies for sucessive customer service down the wire /")</f>
        <v>The invisible customer :strategies for sucessive customer service down the wire /</v>
      </c>
      <c r="D290" s="1" t="str">
        <f t="shared" si="11"/>
        <v>4F西文書庫 4F Western Language Books</v>
      </c>
      <c r="E290" s="1" t="str">
        <f>("HE8788 C624 2000")</f>
        <v>HE8788 C624 2000</v>
      </c>
    </row>
    <row r="291" spans="2:9" x14ac:dyDescent="0.25">
      <c r="B291" s="1" t="str">
        <f>("W00002970")</f>
        <v>W00002970</v>
      </c>
      <c r="C291" s="1" t="str">
        <f>("Business :  a changing world / ")</f>
        <v xml:space="preserve">Business :  a changing world / </v>
      </c>
      <c r="D291" s="1" t="str">
        <f t="shared" si="11"/>
        <v>4F西文書庫 4F Western Language Books</v>
      </c>
      <c r="E291" s="1" t="str">
        <f>("HF1008 F382 2000")</f>
        <v>HF1008 F382 2000</v>
      </c>
      <c r="G291" s="1" t="str">
        <f>("xxv, 497 p. : ")</f>
        <v xml:space="preserve">xxv, 497 p. : </v>
      </c>
      <c r="H291" s="1" t="str">
        <f>(" ill. (some col.) ; ")</f>
        <v xml:space="preserve"> ill. (some col.) ; </v>
      </c>
      <c r="I291" s="1" t="str">
        <f>(" 26 cm. ")</f>
        <v xml:space="preserve"> 26 cm. </v>
      </c>
    </row>
    <row r="292" spans="2:9" x14ac:dyDescent="0.25">
      <c r="B292" s="1" t="str">
        <f>("W00002566")</f>
        <v>W00002566</v>
      </c>
      <c r="C292" s="1" t="str">
        <f>("Statistics for business and financial economics /")</f>
        <v>Statistics for business and financial economics /</v>
      </c>
      <c r="D292" s="1" t="str">
        <f t="shared" si="11"/>
        <v>4F西文書庫 4F Western Language Books</v>
      </c>
      <c r="E292" s="1" t="str">
        <f>("HF1017 L477 2000")</f>
        <v>HF1017 L477 2000</v>
      </c>
      <c r="G292" s="1" t="str">
        <f>("xxx, 976, 101 p. :")</f>
        <v>xxx, 976, 101 p. :</v>
      </c>
      <c r="H292" s="1" t="str">
        <f>("ill. (some col.) ;")</f>
        <v>ill. (some col.) ;</v>
      </c>
      <c r="I292" s="1" t="str">
        <f>("25 cm.")</f>
        <v>25 cm.</v>
      </c>
    </row>
    <row r="293" spans="2:9" x14ac:dyDescent="0.25">
      <c r="B293" s="1" t="str">
        <f>("W00002135")</f>
        <v>W00002135</v>
      </c>
      <c r="C293" s="1" t="str">
        <f>("Business and financial statistics using Minitab 12 and Microsoft Excel 97 /")</f>
        <v>Business and financial statistics using Minitab 12 and Microsoft Excel 97 /</v>
      </c>
      <c r="D293" s="1" t="str">
        <f t="shared" si="11"/>
        <v>4F西文書庫 4F Western Language Books</v>
      </c>
      <c r="E293" s="1" t="str">
        <f>("HF1017 L477:2 2000")</f>
        <v>HF1017 L477:2 2000</v>
      </c>
    </row>
    <row r="294" spans="2:9" x14ac:dyDescent="0.25">
      <c r="B294" s="1" t="str">
        <f>("W00002136")</f>
        <v>W00002136</v>
      </c>
      <c r="C294" s="1" t="str">
        <f>("Study guide for statistics for business and financial economic/")</f>
        <v>Study guide for statistics for business and financial economic/</v>
      </c>
      <c r="D294" s="1" t="str">
        <f t="shared" si="11"/>
        <v>4F西文書庫 4F Western Language Books</v>
      </c>
      <c r="E294" s="1" t="str">
        <f>("HF1017 L477-2 2000")</f>
        <v>HF1017 L477-2 2000</v>
      </c>
    </row>
    <row r="295" spans="2:9" x14ac:dyDescent="0.25">
      <c r="B295" s="1" t="str">
        <f>("W00002580")</f>
        <v>W00002580</v>
      </c>
      <c r="C295" s="1" t="str">
        <f>("International business /")</f>
        <v>International business /</v>
      </c>
      <c r="D295" s="1" t="str">
        <f t="shared" si="11"/>
        <v>4F西文書庫 4F Western Language Books</v>
      </c>
      <c r="E295" s="1" t="str">
        <f>("HF1379 C998-2 1999")</f>
        <v>HF1379 C998-2 1999</v>
      </c>
      <c r="G295" s="1" t="str">
        <f>("xxix, 856 p. :")</f>
        <v>xxix, 856 p. :</v>
      </c>
      <c r="H295" s="1" t="str">
        <f>("col. ill., col. maps ;")</f>
        <v>col. ill., col. maps ;</v>
      </c>
      <c r="I295" s="1" t="str">
        <f>("26 cm ")</f>
        <v xml:space="preserve">26 cm </v>
      </c>
    </row>
    <row r="296" spans="2:9" x14ac:dyDescent="0.25">
      <c r="B296" s="1" t="str">
        <f>("W00002046")</f>
        <v>W00002046</v>
      </c>
      <c r="C296" s="1" t="str">
        <f>("International economics :global markets and international competition /")</f>
        <v>International economics :global markets and international competition /</v>
      </c>
      <c r="D296" s="1" t="str">
        <f t="shared" si="11"/>
        <v>4F西文書庫 4F Western Language Books</v>
      </c>
      <c r="E296" s="1" t="str">
        <f>("HF1379 T468 2001")</f>
        <v>HF1379 T468 2001</v>
      </c>
    </row>
    <row r="297" spans="2:9" x14ac:dyDescent="0.25">
      <c r="B297" s="1" t="str">
        <f>("W00002266")</f>
        <v>W00002266</v>
      </c>
      <c r="C297" s="1" t="str">
        <f>("States versus markets :the emergence of a global economy/")</f>
        <v>States versus markets :the emergence of a global economy/</v>
      </c>
      <c r="D297" s="1" t="str">
        <f t="shared" si="11"/>
        <v>4F西文書庫 4F Western Language Books</v>
      </c>
      <c r="E297" s="1" t="str">
        <f>("HF1411 S399 2000")</f>
        <v>HF1411 S399 2000</v>
      </c>
    </row>
    <row r="298" spans="2:9" x14ac:dyDescent="0.25">
      <c r="B298" s="1" t="str">
        <f>("W00002251")</f>
        <v>W00002251</v>
      </c>
      <c r="C298" s="1" t="str">
        <f>("International marketing : consuming globally, thinking locally / ")</f>
        <v xml:space="preserve">International marketing : consuming globally, thinking locally / </v>
      </c>
      <c r="D298" s="1" t="str">
        <f t="shared" si="11"/>
        <v>4F西文書庫 4F Western Language Books</v>
      </c>
      <c r="E298" s="1" t="str">
        <f>("HF1416 M111 2001")</f>
        <v>HF1416 M111 2001</v>
      </c>
    </row>
    <row r="299" spans="2:9" x14ac:dyDescent="0.25">
      <c r="B299" s="1" t="str">
        <f>("W00003057")</f>
        <v>W00003057</v>
      </c>
      <c r="C299" s="1" t="str">
        <f>("Import/export :how to get started in international trade /")</f>
        <v>Import/export :how to get started in international trade /</v>
      </c>
      <c r="D299" s="1" t="str">
        <f t="shared" si="11"/>
        <v>4F西文書庫 4F Western Language Books</v>
      </c>
      <c r="E299" s="1" t="str">
        <f>("HF1416 N425 2000")</f>
        <v>HF1416 N425 2000</v>
      </c>
    </row>
    <row r="300" spans="2:9" x14ac:dyDescent="0.25">
      <c r="B300" s="1" t="str">
        <f>("W00002043")</f>
        <v>W00002043</v>
      </c>
      <c r="C300" s="1" t="str">
        <f>("Inefficient markets :an introduction to behavioral finance /")</f>
        <v>Inefficient markets :an introduction to behavioral finance /</v>
      </c>
      <c r="D300" s="1" t="str">
        <f t="shared" si="11"/>
        <v>4F西文書庫 4F Western Language Books</v>
      </c>
      <c r="E300" s="1" t="str">
        <f>("HF4515 S524-2 2000")</f>
        <v>HF4515 S524-2 2000</v>
      </c>
    </row>
    <row r="301" spans="2:9" x14ac:dyDescent="0.25">
      <c r="B301" s="1" t="str">
        <f>("W00003180")</f>
        <v>W00003180</v>
      </c>
      <c r="C301" s="1" t="str">
        <f>("Brand manners :how to create the self-confident organization to live the brand /")</f>
        <v>Brand manners :how to create the self-confident organization to live the brand /</v>
      </c>
      <c r="D301" s="1" t="str">
        <f t="shared" si="11"/>
        <v>4F西文書庫 4F Western Language Books</v>
      </c>
      <c r="E301" s="1" t="str">
        <f>("HF5145 P957 2001")</f>
        <v>HF5145 P957 2001</v>
      </c>
    </row>
    <row r="302" spans="2:9" x14ac:dyDescent="0.25">
      <c r="B302" s="1" t="str">
        <f>("W00002410")</f>
        <v>W00002410</v>
      </c>
      <c r="C302" s="1" t="str">
        <f>("Building your career portfolio /")</f>
        <v>Building your career portfolio /</v>
      </c>
      <c r="D302" s="1" t="str">
        <f t="shared" si="11"/>
        <v>4F西文書庫 4F Western Language Books</v>
      </c>
      <c r="E302" s="1" t="str">
        <f>("HF5381 P823 2001")</f>
        <v>HF5381 P823 2001</v>
      </c>
    </row>
    <row r="303" spans="2:9" x14ac:dyDescent="0.25">
      <c r="B303" s="1" t="str">
        <f>("W00002380")</f>
        <v>W00002380</v>
      </c>
      <c r="C303" s="1" t="str">
        <f>("1,001 ways to get promoted / ")</f>
        <v xml:space="preserve">1,001 ways to get promoted / </v>
      </c>
      <c r="D303" s="1" t="str">
        <f t="shared" si="11"/>
        <v>4F西文書庫 4F Western Language Books</v>
      </c>
      <c r="E303" s="1" t="str">
        <f>("HF5381 R993 2000")</f>
        <v>HF5381 R993 2000</v>
      </c>
    </row>
    <row r="304" spans="2:9" x14ac:dyDescent="0.25">
      <c r="B304" s="1" t="str">
        <f>("W00002411")</f>
        <v>W00002411</v>
      </c>
      <c r="C304" s="1" t="str">
        <f>("What smart people do when dumb things happen at work :hundreds of tips for dealing with all the blunders, glitches, traps, and setbacks that sabotage your road to success /")</f>
        <v>What smart people do when dumb things happen at work :hundreds of tips for dealing with all the blunders, glitches, traps, and setbacks that sabotage your road to success /</v>
      </c>
      <c r="D304" s="1" t="str">
        <f t="shared" si="11"/>
        <v>4F西文書庫 4F Western Language Books</v>
      </c>
      <c r="E304" s="1" t="str">
        <f>("HF5381 W338 1999")</f>
        <v>HF5381 W338 1999</v>
      </c>
    </row>
    <row r="305" spans="2:9" x14ac:dyDescent="0.25">
      <c r="B305" s="1" t="str">
        <f>("W00002367")</f>
        <v>W00002367</v>
      </c>
      <c r="C305" s="1" t="str">
        <f>("Targeting the job you want / ")</f>
        <v xml:space="preserve">Targeting the job you want / </v>
      </c>
      <c r="D305" s="1" t="str">
        <f t="shared" si="11"/>
        <v>4F西文書庫 4F Western Language Books</v>
      </c>
      <c r="E305" s="1" t="str">
        <f>("HF5382.7 W471 2000")</f>
        <v>HF5382.7 W471 2000</v>
      </c>
    </row>
    <row r="306" spans="2:9" x14ac:dyDescent="0.25">
      <c r="B306" s="1" t="str">
        <f>("W00002412")</f>
        <v>W00002412</v>
      </c>
      <c r="C306" s="1" t="str">
        <f>("Where the jobs are :the hottest careers for the 21st century /")</f>
        <v>Where the jobs are :the hottest careers for the 21st century /</v>
      </c>
      <c r="D306" s="1" t="str">
        <f t="shared" ref="D306:D337" si="12">("4F西文書庫 4F Western Language Books")</f>
        <v>4F西文書庫 4F Western Language Books</v>
      </c>
      <c r="E306" s="1" t="str">
        <f>("HF5382.75.U6 C782 2000")</f>
        <v>HF5382.75.U6 C782 2000</v>
      </c>
    </row>
    <row r="307" spans="2:9" x14ac:dyDescent="0.25">
      <c r="B307" s="1" t="str">
        <f>("W00002404")</f>
        <v>W00002404</v>
      </c>
      <c r="C307" s="1" t="str">
        <f>("101 great resumes")</f>
        <v>101 great resumes</v>
      </c>
      <c r="D307" s="1" t="str">
        <f t="shared" si="12"/>
        <v>4F西文書庫 4F Western Language Books</v>
      </c>
      <c r="E307" s="1" t="str">
        <f>("HF5383 G787 1996")</f>
        <v>HF5383 G787 1996</v>
      </c>
    </row>
    <row r="308" spans="2:9" x14ac:dyDescent="0.25">
      <c r="B308" s="1" t="str">
        <f>("W00002138")</f>
        <v>W00002138</v>
      </c>
      <c r="C308" s="1" t="str">
        <f>("Top secret executive resumes /")</f>
        <v>Top secret executive resumes /</v>
      </c>
      <c r="D308" s="1" t="str">
        <f t="shared" si="12"/>
        <v>4F西文書庫 4F Western Language Books</v>
      </c>
      <c r="E308" s="1" t="str">
        <f>("HF5383 P969 2000")</f>
        <v>HF5383 P969 2000</v>
      </c>
    </row>
    <row r="309" spans="2:9" x14ac:dyDescent="0.25">
      <c r="B309" s="1" t="str">
        <f>("W00003153")</f>
        <v>W00003153</v>
      </c>
      <c r="C309" s="1" t="str">
        <f>("Electronic resumes &amp; online networking :how to use the Internet to do a better job search, including a complete, up-to-date resource guide /")</f>
        <v>Electronic resumes &amp; online networking :how to use the Internet to do a better job search, including a complete, up-to-date resource guide /</v>
      </c>
      <c r="D309" s="1" t="str">
        <f t="shared" si="12"/>
        <v>4F西文書庫 4F Western Language Books</v>
      </c>
      <c r="E309" s="1" t="str">
        <f>("HF5383 S657 2000")</f>
        <v>HF5383 S657 2000</v>
      </c>
    </row>
    <row r="310" spans="2:9" x14ac:dyDescent="0.25">
      <c r="B310" s="1" t="str">
        <f>("W00002171")</f>
        <v>W00002171</v>
      </c>
      <c r="C310" s="1" t="str">
        <f>("Last minute resumes /")</f>
        <v>Last minute resumes /</v>
      </c>
      <c r="D310" s="1" t="str">
        <f t="shared" si="12"/>
        <v>4F西文書庫 4F Western Language Books</v>
      </c>
      <c r="E310" s="1" t="str">
        <f>("HF5383 T685 1998")</f>
        <v>HF5383 T685 1998</v>
      </c>
    </row>
    <row r="311" spans="2:9" x14ac:dyDescent="0.25">
      <c r="B311" s="1" t="str">
        <f>("W00002122")</f>
        <v>W00002122</v>
      </c>
      <c r="C311" s="1" t="str">
        <f>("Building a great resume?:for job hunters, career changers, consultants, and freelancers /")</f>
        <v>Building a great resume?:for job hunters, career changers, consultants, and freelancers /</v>
      </c>
      <c r="D311" s="1" t="str">
        <f t="shared" si="12"/>
        <v>4F西文書庫 4F Western Language Books</v>
      </c>
      <c r="E311" s="1" t="str">
        <f>("HF5383 W471 1999")</f>
        <v>HF5383 W471 1999</v>
      </c>
    </row>
    <row r="312" spans="2:9" x14ac:dyDescent="0.25">
      <c r="B312" s="1" t="str">
        <f>("W00003166")</f>
        <v>W00003166</v>
      </c>
      <c r="C312" s="1" t="str">
        <f>("The mentoring manager :strategies for fostering talent and spreading knowledge. /")</f>
        <v>The mentoring manager :strategies for fostering talent and spreading knowledge. /</v>
      </c>
      <c r="D312" s="1" t="str">
        <f t="shared" si="12"/>
        <v>4F西文書庫 4F Western Language Books</v>
      </c>
      <c r="E312" s="1" t="str">
        <f>("HF5385 L674 2000")</f>
        <v>HF5385 L674 2000</v>
      </c>
    </row>
    <row r="313" spans="2:9" x14ac:dyDescent="0.25">
      <c r="B313" s="1" t="str">
        <f>("W00002485")</f>
        <v>W00002485</v>
      </c>
      <c r="C313" s="1" t="str">
        <f>("Human relations for career and personal success / ")</f>
        <v xml:space="preserve">Human relations for career and personal success / </v>
      </c>
      <c r="D313" s="1" t="str">
        <f t="shared" si="12"/>
        <v>4F西文書庫 4F Western Language Books</v>
      </c>
      <c r="E313" s="1" t="str">
        <f>("HF5386 D819 1999")</f>
        <v>HF5386 D819 1999</v>
      </c>
      <c r="G313" s="1" t="str">
        <f>("xii, 466 p. : ")</f>
        <v xml:space="preserve">xii, 466 p. : </v>
      </c>
      <c r="H313" s="1" t="str">
        <f>("ill. (some col.) ; ")</f>
        <v xml:space="preserve">ill. (some col.) ; </v>
      </c>
      <c r="I313" s="1" t="str">
        <f>("26 cm. ")</f>
        <v xml:space="preserve">26 cm. </v>
      </c>
    </row>
    <row r="314" spans="2:9" x14ac:dyDescent="0.25">
      <c r="B314" s="1" t="str">
        <f>("W00003177")</f>
        <v>W00003177</v>
      </c>
      <c r="C314" s="1" t="str">
        <f>("The seven deadly skills of competing /")</f>
        <v>The seven deadly skills of competing /</v>
      </c>
      <c r="D314" s="1" t="str">
        <f t="shared" si="12"/>
        <v>4F西文書庫 4F Western Language Books</v>
      </c>
      <c r="E314" s="1" t="str">
        <f>("HF5386 E78 1999")</f>
        <v>HF5386 E78 1999</v>
      </c>
    </row>
    <row r="315" spans="2:9" x14ac:dyDescent="0.25">
      <c r="B315" s="1" t="str">
        <f>("W00002336")</f>
        <v>W00002336</v>
      </c>
      <c r="C315" s="1" t="str">
        <f>("The entrepreneur : twenty-one golden rules for the global business manager / ")</f>
        <v xml:space="preserve">The entrepreneur : twenty-one golden rules for the global business manager / </v>
      </c>
      <c r="D315" s="1" t="str">
        <f t="shared" si="12"/>
        <v>4F西文書庫 4F Western Language Books</v>
      </c>
      <c r="E315" s="1" t="str">
        <f>("HF5386 H468 2000")</f>
        <v>HF5386 H468 2000</v>
      </c>
    </row>
    <row r="316" spans="2:9" x14ac:dyDescent="0.25">
      <c r="B316" s="1" t="str">
        <f>("W00002436")</f>
        <v>W00002436</v>
      </c>
      <c r="C316" s="1" t="str">
        <f>("Success is a journey :7 steps to achieving success in the business of life /")</f>
        <v>Success is a journey :7 steps to achieving success in the business of life /</v>
      </c>
      <c r="D316" s="1" t="str">
        <f t="shared" si="12"/>
        <v>4F西文書庫 4F Western Language Books</v>
      </c>
      <c r="E316" s="1" t="str">
        <f>("HF5386 M468 1998")</f>
        <v>HF5386 M468 1998</v>
      </c>
    </row>
    <row r="317" spans="2:9" x14ac:dyDescent="0.25">
      <c r="B317" s="1" t="str">
        <f>("W00002433")</f>
        <v>W00002433</v>
      </c>
      <c r="C317" s="1" t="str">
        <f>("Handbook of good business practice /")</f>
        <v>Handbook of good business practice /</v>
      </c>
      <c r="D317" s="1" t="str">
        <f t="shared" si="12"/>
        <v>4F西文書庫 4F Western Language Books</v>
      </c>
      <c r="E317" s="1" t="str">
        <f>("HF5387 H863 1999")</f>
        <v>HF5387 H863 1999</v>
      </c>
    </row>
    <row r="318" spans="2:9" x14ac:dyDescent="0.25">
      <c r="B318" s="1" t="str">
        <f>("W00002406")</f>
        <v>W00002406</v>
      </c>
      <c r="C318" s="1" t="str">
        <f>("Business etiquette : 101 ways to conduct business with charm and savvy / ")</f>
        <v xml:space="preserve">Business etiquette : 101 ways to conduct business with charm and savvy / </v>
      </c>
      <c r="D318" s="1" t="str">
        <f t="shared" si="12"/>
        <v>4F西文書庫 4F Western Language Books</v>
      </c>
      <c r="E318" s="1" t="str">
        <f>("HF5389 S113 1998")</f>
        <v>HF5389 S113 1998</v>
      </c>
    </row>
    <row r="319" spans="2:9" x14ac:dyDescent="0.25">
      <c r="B319" s="1" t="str">
        <f>("W00002124")</f>
        <v>W00002124</v>
      </c>
      <c r="C319" s="1" t="str">
        <f>("International business etiquette.what you need to know to conduct business abroad with charm and savvy / Asia &amp; the Pacific Rim :")</f>
        <v>International business etiquette.what you need to know to conduct business abroad with charm and savvy / Asia &amp; the Pacific Rim :</v>
      </c>
      <c r="D319" s="1" t="str">
        <f t="shared" si="12"/>
        <v>4F西文書庫 4F Western Language Books</v>
      </c>
      <c r="E319" s="1" t="str">
        <f>("HF5389.3.A78 S113 1999")</f>
        <v>HF5389.3.A78 S113 1999</v>
      </c>
    </row>
    <row r="320" spans="2:9" x14ac:dyDescent="0.25">
      <c r="B320" s="1" t="str">
        <f>("W00002239")</f>
        <v>W00002239</v>
      </c>
      <c r="C320" s="1" t="str">
        <f>("Brand spirit :how cause related marketing builds brands /")</f>
        <v>Brand spirit :how cause related marketing builds brands /</v>
      </c>
      <c r="D320" s="1" t="str">
        <f t="shared" si="12"/>
        <v>4F西文書庫 4F Western Language Books</v>
      </c>
      <c r="E320" s="1" t="str">
        <f>("HF5414 P954-2 2001")</f>
        <v>HF5414 P954-2 2001</v>
      </c>
    </row>
    <row r="321" spans="2:9" x14ac:dyDescent="0.25">
      <c r="B321" s="1" t="str">
        <f>("W00003167")</f>
        <v>W00003167</v>
      </c>
      <c r="C321" s="1" t="str">
        <f>("Mind to mind marketing :communicate with your customers and create a segment of one /")</f>
        <v>Mind to mind marketing :communicate with your customers and create a segment of one /</v>
      </c>
      <c r="D321" s="1" t="str">
        <f t="shared" si="12"/>
        <v>4F西文書庫 4F Western Language Books</v>
      </c>
      <c r="E321" s="1" t="str">
        <f>("HF5415 A361 2001")</f>
        <v>HF5415 A361 2001</v>
      </c>
    </row>
    <row r="322" spans="2:9" x14ac:dyDescent="0.25">
      <c r="B322" s="1" t="str">
        <f>("W00002311")</f>
        <v>W00002311</v>
      </c>
      <c r="C322" s="1" t="str">
        <f>("Money-tree marketing :innovative secrets that will double your small-business profits in 90 days or less /")</f>
        <v>Money-tree marketing :innovative secrets that will double your small-business profits in 90 days or less /</v>
      </c>
      <c r="D322" s="1" t="str">
        <f t="shared" si="12"/>
        <v>4F西文書庫 4F Western Language Books</v>
      </c>
      <c r="E322" s="1" t="str">
        <f>("HF5415 B622 2000")</f>
        <v>HF5415 B622 2000</v>
      </c>
    </row>
    <row r="323" spans="2:9" x14ac:dyDescent="0.25">
      <c r="B323" s="1" t="str">
        <f>("W00003137")</f>
        <v>W00003137</v>
      </c>
      <c r="C323" s="1" t="str">
        <f>("Key marketing skills :a complete action kit of strategies, tools &amp; techniques for marketing success /")</f>
        <v>Key marketing skills :a complete action kit of strategies, tools &amp; techniques for marketing success /</v>
      </c>
      <c r="D323" s="1" t="str">
        <f t="shared" si="12"/>
        <v>4F西文書庫 4F Western Language Books</v>
      </c>
      <c r="E323" s="1" t="str">
        <f>("HF5415 C527 2000")</f>
        <v>HF5415 C527 2000</v>
      </c>
    </row>
    <row r="324" spans="2:9" x14ac:dyDescent="0.25">
      <c r="B324" s="1" t="str">
        <f>("W00002172")</f>
        <v>W00002172</v>
      </c>
      <c r="C324" s="1" t="str">
        <f>("Managing &amp; marketing technology / ")</f>
        <v xml:space="preserve">Managing &amp; marketing technology / </v>
      </c>
      <c r="D324" s="1" t="str">
        <f t="shared" si="12"/>
        <v>4F西文書庫 4F Western Language Books</v>
      </c>
      <c r="E324" s="1" t="str">
        <f>("HF5415 F699 2001")</f>
        <v>HF5415 F699 2001</v>
      </c>
    </row>
    <row r="325" spans="2:9" x14ac:dyDescent="0.25">
      <c r="B325" s="1" t="str">
        <f>("W00003214")</f>
        <v>W00003214</v>
      </c>
      <c r="C325" s="1" t="str">
        <f>("Marketing for the nonmarketing executive :an integrated resource management guide for the 21st century /")</f>
        <v>Marketing for the nonmarketing executive :an integrated resource management guide for the 21st century /</v>
      </c>
      <c r="D325" s="1" t="str">
        <f t="shared" si="12"/>
        <v>4F西文書庫 4F Western Language Books</v>
      </c>
      <c r="E325" s="1" t="str">
        <f>("HF5415 P158 2001")</f>
        <v>HF5415 P158 2001</v>
      </c>
    </row>
    <row r="326" spans="2:9" x14ac:dyDescent="0.25">
      <c r="B326" s="1" t="str">
        <f>("W00002467")</f>
        <v>W00002467</v>
      </c>
      <c r="C326" s="1" t="str">
        <f>("Analysis for strategic marketing /")</f>
        <v>Analysis for strategic marketing /</v>
      </c>
      <c r="D326" s="1" t="str">
        <f t="shared" si="12"/>
        <v>4F西文書庫 4F Western Language Books</v>
      </c>
      <c r="E326" s="1" t="str">
        <f>("HF5415 R215 1998")</f>
        <v>HF5415 R215 1998</v>
      </c>
    </row>
    <row r="327" spans="2:9" x14ac:dyDescent="0.25">
      <c r="B327" s="1" t="str">
        <f>("W00003206")</f>
        <v>W00003206</v>
      </c>
      <c r="C327" s="1" t="str">
        <f>("Emotion marketing :the Hallmark way of winning customers for life /")</f>
        <v>Emotion marketing :the Hallmark way of winning customers for life /</v>
      </c>
      <c r="D327" s="1" t="str">
        <f t="shared" si="12"/>
        <v>4F西文書庫 4F Western Language Books</v>
      </c>
      <c r="E327" s="1" t="str">
        <f>("HF5415 R656 2001")</f>
        <v>HF5415 R656 2001</v>
      </c>
    </row>
    <row r="328" spans="2:9" x14ac:dyDescent="0.25">
      <c r="B328" s="1" t="str">
        <f>("W00002448")</f>
        <v>W00002448</v>
      </c>
      <c r="C328" s="1" t="str">
        <f>("Marketing strategies for the new economy/ ")</f>
        <v xml:space="preserve">Marketing strategies for the new economy/ </v>
      </c>
      <c r="D328" s="1" t="str">
        <f t="shared" si="12"/>
        <v>4F西文書庫 4F Western Language Books</v>
      </c>
      <c r="E328" s="1" t="str">
        <f>("HF5415 T111 2001")</f>
        <v>HF5415 T111 2001</v>
      </c>
    </row>
    <row r="329" spans="2:9" x14ac:dyDescent="0.25">
      <c r="B329" s="1" t="str">
        <f>("W00002235")</f>
        <v>W00002235</v>
      </c>
      <c r="C329" s="1" t="str">
        <f>("Marketing insights for the Asia Pacific /")</f>
        <v>Marketing insights for the Asia Pacific /</v>
      </c>
      <c r="D329" s="1" t="str">
        <f t="shared" si="12"/>
        <v>4F西文書庫 4F Western Language Books</v>
      </c>
      <c r="E329" s="1" t="str">
        <f>("HF5415.12.A8 L579 1996")</f>
        <v>HF5415.12.A8 L579 1996</v>
      </c>
    </row>
    <row r="330" spans="2:9" x14ac:dyDescent="0.25">
      <c r="B330" s="1" t="str">
        <f>("W00003152")</f>
        <v>W00003152</v>
      </c>
      <c r="C330" s="1" t="str">
        <f>("The definitive guide to marketing planning :the fast track to intelligent marketing planning and implementation for executives /")</f>
        <v>The definitive guide to marketing planning :the fast track to intelligent marketing planning and implementation for executives /</v>
      </c>
      <c r="D330" s="1" t="str">
        <f t="shared" si="12"/>
        <v>4F西文書庫 4F Western Language Books</v>
      </c>
      <c r="E330" s="1" t="str">
        <f>("HF5415.122 H366 2000")</f>
        <v>HF5415.122 H366 2000</v>
      </c>
    </row>
    <row r="331" spans="2:9" x14ac:dyDescent="0.25">
      <c r="B331" s="1" t="str">
        <f>("W00003113")</f>
        <v>W00003113</v>
      </c>
      <c r="C331" s="1" t="str">
        <f>("Net worth :shaping markets when customers make the rules /")</f>
        <v>Net worth :shaping markets when customers make the rules /</v>
      </c>
      <c r="D331" s="1" t="str">
        <f t="shared" si="12"/>
        <v>4F西文書庫 4F Western Language Books</v>
      </c>
      <c r="E331" s="1" t="str">
        <f>("HF5415.124 H141 1999")</f>
        <v>HF5415.124 H141 1999</v>
      </c>
      <c r="G331" s="1" t="str">
        <f>("xx, 313 p. :")</f>
        <v>xx, 313 p. :</v>
      </c>
      <c r="H331" s="1" t="str">
        <f>("ill. ;")</f>
        <v>ill. ;</v>
      </c>
      <c r="I331" s="1" t="str">
        <f>("24 cm.")</f>
        <v>24 cm.</v>
      </c>
    </row>
    <row r="332" spans="2:9" x14ac:dyDescent="0.25">
      <c r="B332" s="1" t="str">
        <f>("W00003077")</f>
        <v>W00003077</v>
      </c>
      <c r="C332" s="1" t="str">
        <f>("Direct and interactive marketing /")</f>
        <v>Direct and interactive marketing /</v>
      </c>
      <c r="D332" s="1" t="str">
        <f t="shared" si="12"/>
        <v>4F西文書庫 4F Western Language Books</v>
      </c>
      <c r="E332" s="1" t="str">
        <f>("HF5415.126 S245 2001")</f>
        <v>HF5415.126 S245 2001</v>
      </c>
    </row>
    <row r="333" spans="2:9" x14ac:dyDescent="0.25">
      <c r="B333" s="1" t="str">
        <f>("W00002466")</f>
        <v>W00002466</v>
      </c>
      <c r="C333" s="1" t="str">
        <f>("Business market management: understanding,creating,and delivering value/ ")</f>
        <v xml:space="preserve">Business market management: understanding,creating,and delivering value/ </v>
      </c>
      <c r="D333" s="1" t="str">
        <f t="shared" si="12"/>
        <v>4F西文書庫 4F Western Language Books</v>
      </c>
      <c r="E333" s="1" t="str">
        <f>("HF5415.1263 A545 1998")</f>
        <v>HF5415.1263 A545 1998</v>
      </c>
    </row>
    <row r="334" spans="2:9" x14ac:dyDescent="0.25">
      <c r="B334" s="1" t="str">
        <f>("W00002128")</f>
        <v>W00002128</v>
      </c>
      <c r="C334" s="1" t="str">
        <f>("Marketing in travel and tourism /")</f>
        <v>Marketing in travel and tourism /</v>
      </c>
      <c r="D334" s="1" t="str">
        <f t="shared" si="12"/>
        <v>4F西文書庫 4F Western Language Books</v>
      </c>
      <c r="E334" s="1" t="str">
        <f>("HF5415.1263 M628 2001")</f>
        <v>HF5415.1263 M628 2001</v>
      </c>
    </row>
    <row r="335" spans="2:9" x14ac:dyDescent="0.25">
      <c r="B335" s="1" t="str">
        <f>("W00002343")</f>
        <v>W00002343</v>
      </c>
      <c r="C335" s="1" t="str">
        <f>("One-to-one Web marketing : build a relationship marketing strategy one customer at a time / ")</f>
        <v xml:space="preserve">One-to-one Web marketing : build a relationship marketing strategy one customer at a time / </v>
      </c>
      <c r="D335" s="1" t="str">
        <f t="shared" si="12"/>
        <v>4F西文書庫 4F Western Language Books</v>
      </c>
      <c r="E335" s="1" t="str">
        <f>("HF5415.1265 A425 2001")</f>
        <v>HF5415.1265 A425 2001</v>
      </c>
    </row>
    <row r="336" spans="2:9" x14ac:dyDescent="0.25">
      <c r="B336" s="1" t="str">
        <f>("W00002556")</f>
        <v>W00002556</v>
      </c>
      <c r="C336" s="1" t="str">
        <f>("Intruction to marketing communication")</f>
        <v>Intruction to marketing communication</v>
      </c>
      <c r="D336" s="1" t="str">
        <f t="shared" si="12"/>
        <v>4F西文書庫 4F Western Language Books</v>
      </c>
      <c r="E336" s="1" t="str">
        <f>("HF5415.1265 B964 2000")</f>
        <v>HF5415.1265 B964 2000</v>
      </c>
    </row>
    <row r="337" spans="2:9" x14ac:dyDescent="0.25">
      <c r="B337" s="1" t="str">
        <f>("W00002568")</f>
        <v>W00002568</v>
      </c>
      <c r="C337" s="1" t="str">
        <f>("Entrepreneurial marketing :competing by challenging conventions /")</f>
        <v>Entrepreneurial marketing :competing by challenging conventions /</v>
      </c>
      <c r="D337" s="1" t="str">
        <f t="shared" si="12"/>
        <v>4F西文書庫 4F Western Language Books</v>
      </c>
      <c r="E337" s="1" t="str">
        <f>("HF5415.1265 C489")</f>
        <v>HF5415.1265 C489</v>
      </c>
    </row>
    <row r="338" spans="2:9" x14ac:dyDescent="0.25">
      <c r="B338" s="1" t="str">
        <f>("W00002118")</f>
        <v>W00002118</v>
      </c>
      <c r="C338" s="1" t="str">
        <f>("Capturing customers.com :radical strategies for selling and marketing in a wired world /")</f>
        <v>Capturing customers.com :radical strategies for selling and marketing in a wired world /</v>
      </c>
      <c r="D338" s="1" t="str">
        <f t="shared" ref="D338:D369" si="13">("4F西文書庫 4F Western Language Books")</f>
        <v>4F西文書庫 4F Western Language Books</v>
      </c>
      <c r="E338" s="1" t="str">
        <f>("HF5415.1265 C718 2001")</f>
        <v>HF5415.1265 C718 2001</v>
      </c>
    </row>
    <row r="339" spans="2:9" x14ac:dyDescent="0.25">
      <c r="B339" s="1" t="str">
        <f>("W00002413")</f>
        <v>W00002413</v>
      </c>
      <c r="C339" s="1" t="str">
        <f>("StrikingItRich.com :profiles of 23 incredibly successful websites you've probably never heard of /")</f>
        <v>StrikingItRich.com :profiles of 23 incredibly successful websites you've probably never heard of /</v>
      </c>
      <c r="D339" s="1" t="str">
        <f t="shared" si="13"/>
        <v>4F西文書庫 4F Western Language Books</v>
      </c>
      <c r="E339" s="1" t="str">
        <f>("HF5415.1265 E13 2000")</f>
        <v>HF5415.1265 E13 2000</v>
      </c>
    </row>
    <row r="340" spans="2:9" x14ac:dyDescent="0.25">
      <c r="B340" s="1" t="str">
        <f>("W00002091")</f>
        <v>W00002091</v>
      </c>
      <c r="C340" s="1" t="str">
        <f>("Handbook of online marketing research / ")</f>
        <v xml:space="preserve">Handbook of online marketing research / </v>
      </c>
      <c r="D340" s="1" t="str">
        <f t="shared" si="13"/>
        <v>4F西文書庫 4F Western Language Books</v>
      </c>
      <c r="E340" s="1" t="str">
        <f>("HF5415.1265 G878 2001")</f>
        <v>HF5415.1265 G878 2001</v>
      </c>
    </row>
    <row r="341" spans="2:9" x14ac:dyDescent="0.25">
      <c r="B341" s="1" t="str">
        <f>("W00002509")</f>
        <v>W00002509</v>
      </c>
      <c r="C341" s="1" t="str">
        <f>("Principles of internet marketing / ")</f>
        <v xml:space="preserve">Principles of internet marketing / </v>
      </c>
      <c r="D341" s="1" t="str">
        <f t="shared" si="13"/>
        <v>4F西文書庫 4F Western Language Books</v>
      </c>
      <c r="E341" s="1" t="str">
        <f>("HF5415.1265 H251 2000")</f>
        <v>HF5415.1265 H251 2000</v>
      </c>
    </row>
    <row r="342" spans="2:9" x14ac:dyDescent="0.25">
      <c r="B342" s="1" t="str">
        <f>("W00002468")</f>
        <v>W00002468</v>
      </c>
      <c r="C342" s="1" t="str">
        <f>("Marketing on the Internet :principles of online marketing /")</f>
        <v>Marketing on the Internet :principles of online marketing /</v>
      </c>
      <c r="D342" s="1" t="str">
        <f t="shared" si="13"/>
        <v>4F西文書庫 4F Western Language Books</v>
      </c>
      <c r="E342" s="1" t="str">
        <f>("HF5415.1265 S912 1999")</f>
        <v>HF5415.1265 S912 1999</v>
      </c>
    </row>
    <row r="343" spans="2:9" x14ac:dyDescent="0.25">
      <c r="B343" s="1" t="str">
        <f>("W00002315")</f>
        <v>W00002315</v>
      </c>
      <c r="C343" s="1" t="str">
        <f>("World Wide Web marketing :integrating the Web into your marketing strategy /")</f>
        <v>World Wide Web marketing :integrating the Web into your marketing strategy /</v>
      </c>
      <c r="D343" s="1" t="str">
        <f t="shared" si="13"/>
        <v>4F西文書庫 4F Western Language Books</v>
      </c>
      <c r="E343" s="1" t="str">
        <f>("HF5415.1265 S981 2001")</f>
        <v>HF5415.1265 S981 2001</v>
      </c>
    </row>
    <row r="344" spans="2:9" x14ac:dyDescent="0.25">
      <c r="B344" s="1" t="str">
        <f>("W00002096")</f>
        <v>W00002096</v>
      </c>
      <c r="C344" s="1" t="str">
        <f>("Digital marketing : global strategies from the worldl's leading experts/ ")</f>
        <v xml:space="preserve">Digital marketing : global strategies from the worldl's leading experts/ </v>
      </c>
      <c r="D344" s="1" t="str">
        <f t="shared" si="13"/>
        <v>4F西文書庫 4F Western Language Books</v>
      </c>
      <c r="E344" s="1" t="str">
        <f>("HF5415.1265 W763 2001")</f>
        <v>HF5415.1265 W763 2001</v>
      </c>
    </row>
    <row r="345" spans="2:9" x14ac:dyDescent="0.25">
      <c r="B345" s="1" t="str">
        <f>("W00002563")</f>
        <v>W00002563</v>
      </c>
      <c r="C345" s="1" t="str">
        <f>("Business marketing management : a strategic view of industrial and organizational markets / ")</f>
        <v xml:space="preserve">Business marketing management : a strategic view of industrial and organizational markets / </v>
      </c>
      <c r="D345" s="1" t="str">
        <f t="shared" si="13"/>
        <v>4F西文書庫 4F Western Language Books</v>
      </c>
      <c r="E345" s="1" t="str">
        <f>("HF5415.13 H982 1998")</f>
        <v>HF5415.13 H982 1998</v>
      </c>
      <c r="G345" s="1" t="str">
        <f>("xxix, 777 p. : ")</f>
        <v xml:space="preserve">xxix, 777 p. : </v>
      </c>
      <c r="H345" s="1" t="str">
        <f>("ill. ; ")</f>
        <v xml:space="preserve">ill. ; </v>
      </c>
      <c r="I345" s="1" t="str">
        <f>("25 cm. ")</f>
        <v xml:space="preserve">25 cm. </v>
      </c>
    </row>
    <row r="346" spans="2:9" x14ac:dyDescent="0.25">
      <c r="B346" s="1" t="str">
        <f>("W00002231")</f>
        <v>W00002231</v>
      </c>
      <c r="C346" s="1" t="str">
        <f>("Marketing in Manageable Bites for busy managers and overworked students: /")</f>
        <v>Marketing in Manageable Bites for busy managers and overworked students: /</v>
      </c>
      <c r="D346" s="1" t="str">
        <f t="shared" si="13"/>
        <v>4F西文書庫 4F Western Language Books</v>
      </c>
      <c r="E346" s="1" t="str">
        <f>("HF5415.13 M517 2000")</f>
        <v>HF5415.13 M517 2000</v>
      </c>
    </row>
    <row r="347" spans="2:9" x14ac:dyDescent="0.25">
      <c r="B347" s="1" t="str">
        <f>("W00003054")</f>
        <v>W00003054</v>
      </c>
      <c r="C347" s="1" t="str">
        <f>("Hi-tech hi-touch branding :creating brand power in the age of technology /")</f>
        <v>Hi-tech hi-touch branding :creating brand power in the age of technology /</v>
      </c>
      <c r="D347" s="1" t="str">
        <f t="shared" si="13"/>
        <v>4F西文書庫 4F Western Language Books</v>
      </c>
      <c r="E347" s="1" t="str">
        <f>("HF5415.13 T288 2001")</f>
        <v>HF5415.13 T288 2001</v>
      </c>
    </row>
    <row r="348" spans="2:9" x14ac:dyDescent="0.25">
      <c r="B348" s="1" t="str">
        <f>("W00002511")</f>
        <v>W00002511</v>
      </c>
      <c r="C348" s="1" t="str">
        <f>("Successful product development : speeding from opportunity to profit / ")</f>
        <v xml:space="preserve">Successful product development : speeding from opportunity to profit / </v>
      </c>
      <c r="D348" s="1" t="str">
        <f t="shared" si="13"/>
        <v>4F西文書庫 4F Western Language Books</v>
      </c>
      <c r="E348" s="1" t="str">
        <f>("HF5415.153 R813 2000")</f>
        <v>HF5415.153 R813 2000</v>
      </c>
      <c r="G348" s="1" t="str">
        <f>("xi, 151 p. : ")</f>
        <v xml:space="preserve">xi, 151 p. : </v>
      </c>
      <c r="H348" s="1" t="str">
        <f>("ill. ; ")</f>
        <v xml:space="preserve">ill. ; </v>
      </c>
      <c r="I348" s="1" t="str">
        <f>("24 cm. ")</f>
        <v xml:space="preserve">24 cm. </v>
      </c>
    </row>
    <row r="349" spans="2:9" x14ac:dyDescent="0.25">
      <c r="B349" s="1" t="str">
        <f>("W00002079")</f>
        <v>W00002079</v>
      </c>
      <c r="C349" s="1" t="str">
        <f>("Qualitative methods for marketplace research /")</f>
        <v>Qualitative methods for marketplace research /</v>
      </c>
      <c r="D349" s="1" t="str">
        <f t="shared" si="13"/>
        <v>4F西文書庫 4F Western Language Books</v>
      </c>
      <c r="E349" s="1" t="str">
        <f>("HF5415.2 S274 2001")</f>
        <v>HF5415.2 S274 2001</v>
      </c>
    </row>
    <row r="350" spans="2:9" x14ac:dyDescent="0.25">
      <c r="B350" s="1" t="str">
        <f>("W00002463")</f>
        <v>W00002463</v>
      </c>
      <c r="C350" s="1" t="str">
        <f>("Consumer behavior and managerial decision making/")</f>
        <v>Consumer behavior and managerial decision making/</v>
      </c>
      <c r="D350" s="1" t="str">
        <f t="shared" si="13"/>
        <v>4F西文書庫 4F Western Language Books</v>
      </c>
      <c r="E350" s="1" t="str">
        <f>("HF5415.3 K18 1999")</f>
        <v>HF5415.3 K18 1999</v>
      </c>
    </row>
    <row r="351" spans="2:9" x14ac:dyDescent="0.25">
      <c r="B351" s="1" t="str">
        <f>("W00002361")</f>
        <v>W00002361</v>
      </c>
      <c r="C351" s="1" t="str">
        <f>("The wow factory : creating a customer focus revolution in your business / ")</f>
        <v xml:space="preserve">The wow factory : creating a customer focus revolution in your business / </v>
      </c>
      <c r="D351" s="1" t="str">
        <f t="shared" si="13"/>
        <v>4F西文書庫 4F Western Language Books</v>
      </c>
      <c r="E351" s="1" t="str">
        <f>("HF5415.3 L662 1995")</f>
        <v>HF5415.3 L662 1995</v>
      </c>
    </row>
    <row r="352" spans="2:9" x14ac:dyDescent="0.25">
      <c r="B352" s="1" t="str">
        <f>("W00002521")</f>
        <v>W00002521</v>
      </c>
      <c r="C352" s="1" t="str">
        <f>("Consumer behavior /")</f>
        <v>Consumer behavior /</v>
      </c>
      <c r="D352" s="1" t="str">
        <f t="shared" si="13"/>
        <v>4F西文書庫 4F Western Language Books</v>
      </c>
      <c r="E352" s="1" t="str">
        <f>("HF5415.32 B632 2001")</f>
        <v>HF5415.32 B632 2001</v>
      </c>
    </row>
    <row r="353" spans="2:9" x14ac:dyDescent="0.25">
      <c r="B353" s="1" t="str">
        <f>("W00002457")</f>
        <v>W00002457</v>
      </c>
      <c r="C353" s="1" t="str">
        <f>("Improving customer satisfaction, loyalty, and profit :an integrated measurement and management system /")</f>
        <v>Improving customer satisfaction, loyalty, and profit :an integrated measurement and management system /</v>
      </c>
      <c r="D353" s="1" t="str">
        <f t="shared" si="13"/>
        <v>4F西文書庫 4F Western Language Books</v>
      </c>
      <c r="E353" s="1" t="str">
        <f>("HF5415.335 J68 2000 c.2")</f>
        <v>HF5415.335 J68 2000 c.2</v>
      </c>
    </row>
    <row r="354" spans="2:9" x14ac:dyDescent="0.25">
      <c r="B354" s="1" t="str">
        <f>("W00002100")</f>
        <v>W00002100</v>
      </c>
      <c r="C354" s="1" t="str">
        <f>("Customer relationship management :a strategic imperative in the world of e-business /")</f>
        <v>Customer relationship management :a strategic imperative in the world of e-business /</v>
      </c>
      <c r="D354" s="1" t="str">
        <f t="shared" si="13"/>
        <v>4F西文書庫 4F Western Language Books</v>
      </c>
      <c r="E354" s="1" t="str">
        <f>("HF5415.5 B882 2000")</f>
        <v>HF5415.5 B882 2000</v>
      </c>
    </row>
    <row r="355" spans="2:9" x14ac:dyDescent="0.25">
      <c r="B355" s="1" t="str">
        <f>("W00003151")</f>
        <v>W00003151</v>
      </c>
      <c r="C355" s="1" t="str">
        <f>("Customer care :how to create an effective customer focus /")</f>
        <v>Customer care :how to create an effective customer focus /</v>
      </c>
      <c r="D355" s="1" t="str">
        <f t="shared" si="13"/>
        <v>4F西文書庫 4F Western Language Books</v>
      </c>
      <c r="E355" s="1" t="str">
        <f>("HF5415.5 C771 2000")</f>
        <v>HF5415.5 C771 2000</v>
      </c>
    </row>
    <row r="356" spans="2:9" x14ac:dyDescent="0.25">
      <c r="B356" s="1" t="str">
        <f>("W00002199")</f>
        <v>W00002199</v>
      </c>
      <c r="C356" s="1" t="str">
        <f>("Monitoring, measuring, and managing customer service /")</f>
        <v>Monitoring, measuring, and managing customer service /</v>
      </c>
      <c r="D356" s="1" t="str">
        <f t="shared" si="13"/>
        <v>4F西文書庫 4F Western Language Books</v>
      </c>
      <c r="E356" s="1" t="str">
        <f>("HF5415.5 G653 2000")</f>
        <v>HF5415.5 G653 2000</v>
      </c>
    </row>
    <row r="357" spans="2:9" x14ac:dyDescent="0.25">
      <c r="B357" s="1" t="str">
        <f>("W00002127")</f>
        <v>W00002127</v>
      </c>
      <c r="C357" s="1" t="str">
        <f>("CRM at the speed of light :capturing and keeping customers in Internet real time /")</f>
        <v>CRM at the speed of light :capturing and keeping customers in Internet real time /</v>
      </c>
      <c r="D357" s="1" t="str">
        <f t="shared" si="13"/>
        <v>4F西文書庫 4F Western Language Books</v>
      </c>
      <c r="E357" s="1" t="str">
        <f>("HF5415.5 G795 2001")</f>
        <v>HF5415.5 G795 2001</v>
      </c>
    </row>
    <row r="358" spans="2:9" x14ac:dyDescent="0.25">
      <c r="B358" s="1" t="str">
        <f>("W00002270")</f>
        <v>W00002270</v>
      </c>
      <c r="C358" s="1" t="str">
        <f>("The relationship-based enterprise :powering business success through customer relationship management /")</f>
        <v>The relationship-based enterprise :powering business success through customer relationship management /</v>
      </c>
      <c r="D358" s="1" t="str">
        <f t="shared" si="13"/>
        <v>4F西文書庫 4F Western Language Books</v>
      </c>
      <c r="E358" s="1" t="str">
        <f>("HF5415.5 M111 2001")</f>
        <v>HF5415.5 M111 2001</v>
      </c>
    </row>
    <row r="359" spans="2:9" x14ac:dyDescent="0.25">
      <c r="B359" s="1" t="str">
        <f>("W00003048")</f>
        <v>W00003048</v>
      </c>
      <c r="C359" s="1" t="str">
        <f>("The customer differential :the complete guide to implementing customer relationship management /")</f>
        <v>The customer differential :the complete guide to implementing customer relationship management /</v>
      </c>
      <c r="D359" s="1" t="str">
        <f t="shared" si="13"/>
        <v>4F西文書庫 4F Western Language Books</v>
      </c>
      <c r="E359" s="1" t="str">
        <f>("HF5415.5 N995 2001")</f>
        <v>HF5415.5 N995 2001</v>
      </c>
    </row>
    <row r="360" spans="2:9" x14ac:dyDescent="0.25">
      <c r="B360" s="1" t="str">
        <f>("W00002279")</f>
        <v>W00002279</v>
      </c>
      <c r="C360" s="1" t="str">
        <f>("Acquiring, processing, and deploying voice of the customer/")</f>
        <v>Acquiring, processing, and deploying voice of the customer/</v>
      </c>
      <c r="D360" s="1" t="str">
        <f t="shared" si="13"/>
        <v>4F西文書庫 4F Western Language Books</v>
      </c>
      <c r="E360" s="1" t="str">
        <f>("HF5415.5 S556 2001")</f>
        <v>HF5415.5 S556 2001</v>
      </c>
    </row>
    <row r="361" spans="2:9" x14ac:dyDescent="0.25">
      <c r="B361" s="1" t="str">
        <f>("W00002932")</f>
        <v>W00002932</v>
      </c>
      <c r="C361" s="1" t="str">
        <f>("Accelerating customer relationships : using CRM and relationship technologies / ")</f>
        <v xml:space="preserve">Accelerating customer relationships : using CRM and relationship technologies / </v>
      </c>
      <c r="D361" s="1" t="str">
        <f t="shared" si="13"/>
        <v>4F西文書庫 4F Western Language Books</v>
      </c>
      <c r="E361" s="1" t="str">
        <f>("HF5415.5 S977 2000")</f>
        <v>HF5415.5 S977 2000</v>
      </c>
    </row>
    <row r="362" spans="2:9" x14ac:dyDescent="0.25">
      <c r="B362" s="1" t="str">
        <f>("W00002274")</f>
        <v>W00002274</v>
      </c>
      <c r="C362" s="1" t="str">
        <f>("The customer-centered enterprise :how IBM and other world-class companies achieve extraordinary results by putting customers first /")</f>
        <v>The customer-centered enterprise :how IBM and other world-class companies achieve extraordinary results by putting customers first /</v>
      </c>
      <c r="D362" s="1" t="str">
        <f t="shared" si="13"/>
        <v>4F西文書庫 4F Western Language Books</v>
      </c>
      <c r="E362" s="1" t="str">
        <f>("HF5415.5 T468 2000")</f>
        <v>HF5415.5 T468 2000</v>
      </c>
      <c r="G362" s="1" t="str">
        <f>("xv, 245 p. :")</f>
        <v>xv, 245 p. :</v>
      </c>
      <c r="H362" s="1" t="str">
        <f>("ill. ;")</f>
        <v>ill. ;</v>
      </c>
      <c r="I362" s="1" t="str">
        <f>("24 cm.")</f>
        <v>24 cm.</v>
      </c>
    </row>
    <row r="363" spans="2:9" x14ac:dyDescent="0.25">
      <c r="B363" s="1" t="str">
        <f>("W00002312")</f>
        <v>W00002312</v>
      </c>
      <c r="C363" s="1" t="str">
        <f>("The eternal e-customer :how emotionally intelligent interfaces can create long-lasting customer relationships /")</f>
        <v>The eternal e-customer :how emotionally intelligent interfaces can create long-lasting customer relationships /</v>
      </c>
      <c r="D363" s="1" t="str">
        <f t="shared" si="13"/>
        <v>4F西文書庫 4F Western Language Books</v>
      </c>
      <c r="E363" s="1" t="str">
        <f>("HF5415.525 B496 2001")</f>
        <v>HF5415.525 B496 2001</v>
      </c>
    </row>
    <row r="364" spans="2:9" x14ac:dyDescent="0.25">
      <c r="B364" s="1" t="str">
        <f>("W00002068")</f>
        <v>W00002068</v>
      </c>
      <c r="C364" s="1" t="str">
        <f>("E-service :24 ways to keep your customers when the competition is just a click away /")</f>
        <v>E-service :24 ways to keep your customers when the competition is just a click away /</v>
      </c>
      <c r="D364" s="1" t="str">
        <f t="shared" si="13"/>
        <v>4F西文書庫 4F Western Language Books</v>
      </c>
      <c r="E364" s="1" t="str">
        <f>("HF5415.525 Z41 2001")</f>
        <v>HF5415.525 Z41 2001</v>
      </c>
    </row>
    <row r="365" spans="2:9" x14ac:dyDescent="0.25">
      <c r="B365" s="1" t="str">
        <f>("W00002060")</f>
        <v>W00002060</v>
      </c>
      <c r="C365" s="1" t="str">
        <f>("Customer equity :building and managing relationships as valuable assets /")</f>
        <v>Customer equity :building and managing relationships as valuable assets /</v>
      </c>
      <c r="D365" s="1" t="str">
        <f t="shared" si="13"/>
        <v>4F西文書庫 4F Western Language Books</v>
      </c>
      <c r="E365" s="1" t="str">
        <f>("HF5415.55 B628 2001")</f>
        <v>HF5415.55 B628 2001</v>
      </c>
    </row>
    <row r="366" spans="2:9" x14ac:dyDescent="0.25">
      <c r="B366" s="1" t="str">
        <f>("W00002129")</f>
        <v>W00002129</v>
      </c>
      <c r="C366" s="1" t="str">
        <f>("Total relationship marketing :from the 4Ps-product, price, promotion, place- of traditional marketing management to the 30Rs-the thirty relationships- of the new marketing paradigm /")</f>
        <v>Total relationship marketing :from the 4Ps-product, price, promotion, place- of traditional marketing management to the 30Rs-the thirty relationships- of the new marketing paradigm /</v>
      </c>
      <c r="D366" s="1" t="str">
        <f t="shared" si="13"/>
        <v>4F西文書庫 4F Western Language Books</v>
      </c>
      <c r="E366" s="1" t="str">
        <f>("HF5415.55 G974 1999")</f>
        <v>HF5415.55 G974 1999</v>
      </c>
      <c r="G366" s="1" t="str">
        <f>("xiii, 281 p. :")</f>
        <v>xiii, 281 p. :</v>
      </c>
      <c r="H366" s="1" t="str">
        <f>("ill. ;")</f>
        <v>ill. ;</v>
      </c>
      <c r="I366" s="1" t="str">
        <f>("25 cm.")</f>
        <v>25 cm.</v>
      </c>
    </row>
    <row r="367" spans="2:9" x14ac:dyDescent="0.25">
      <c r="B367" s="1" t="str">
        <f>("W00002344")</f>
        <v>W00002344</v>
      </c>
      <c r="C367" s="1" t="str">
        <f>("Romancing the customer : maximizing brand value through powerful relationship management / ")</f>
        <v xml:space="preserve">Romancing the customer : maximizing brand value through powerful relationship management / </v>
      </c>
      <c r="D367" s="1" t="str">
        <f t="shared" si="13"/>
        <v>4F西文書庫 4F Western Language Books</v>
      </c>
      <c r="E367" s="1" t="str">
        <f>("HF5415.55 T282 2001")</f>
        <v>HF5415.55 T282 2001</v>
      </c>
    </row>
    <row r="368" spans="2:9" x14ac:dyDescent="0.25">
      <c r="B368" s="1" t="str">
        <f>("W00002686")</f>
        <v>W00002686</v>
      </c>
      <c r="C368" s="1" t="str">
        <f>("Creating stores on the web / ")</f>
        <v xml:space="preserve">Creating stores on the web / </v>
      </c>
      <c r="D368" s="1" t="str">
        <f t="shared" si="13"/>
        <v>4F西文書庫 4F Western Language Books</v>
      </c>
      <c r="E368" s="1" t="str">
        <f>("HF5428.12 C357 1998")</f>
        <v>HF5428.12 C357 1998</v>
      </c>
    </row>
    <row r="369" spans="2:9" x14ac:dyDescent="0.25">
      <c r="B369" s="1" t="str">
        <f>("W00002812")</f>
        <v>W00002812</v>
      </c>
      <c r="C369" s="1" t="str">
        <f>("Developing e-commerce sites : an integrated approach / ")</f>
        <v xml:space="preserve">Developing e-commerce sites : an integrated approach / </v>
      </c>
      <c r="D369" s="1" t="str">
        <f t="shared" si="13"/>
        <v>4F西文書庫 4F Western Language Books</v>
      </c>
      <c r="E369" s="1" t="str">
        <f>("HF5429.12 S531 2000")</f>
        <v>HF5429.12 S531 2000</v>
      </c>
    </row>
    <row r="370" spans="2:9" x14ac:dyDescent="0.25">
      <c r="B370" s="1" t="str">
        <f>("W00002487")</f>
        <v>W00002487</v>
      </c>
      <c r="C370" s="1" t="str">
        <f>("Sales management :teamwork, leadership, and technology /")</f>
        <v>Sales management :teamwork, leadership, and technology /</v>
      </c>
      <c r="D370" s="1" t="str">
        <f t="shared" ref="D370:D401" si="14">("4F西文書庫 4F Western Language Books")</f>
        <v>4F西文書庫 4F Western Language Books</v>
      </c>
      <c r="E370" s="1" t="str">
        <f>("HF5438 F949 1998")</f>
        <v>HF5438 F949 1998</v>
      </c>
    </row>
    <row r="371" spans="2:9" x14ac:dyDescent="0.25">
      <c r="B371" s="1" t="str">
        <f>("W00002131")</f>
        <v>W00002131</v>
      </c>
      <c r="C371" s="1" t="str">
        <f>("High performance selling :advice, tactics, and tools : the complete guide to sales success.")</f>
        <v>High performance selling :advice, tactics, and tools : the complete guide to sales success.</v>
      </c>
      <c r="D371" s="1" t="str">
        <f t="shared" si="14"/>
        <v>4F西文書庫 4F Western Language Books</v>
      </c>
      <c r="E371" s="1" t="str">
        <f>("HF5438.25 B393 2001")</f>
        <v>HF5438.25 B393 2001</v>
      </c>
    </row>
    <row r="372" spans="2:9" x14ac:dyDescent="0.25">
      <c r="B372" s="1" t="str">
        <f>("W00002117")</f>
        <v>W00002117</v>
      </c>
      <c r="C372" s="1" t="str">
        <f>("Secrets of power negotiating for salespeople :inside secrets from a master negotiator /")</f>
        <v>Secrets of power negotiating for salespeople :inside secrets from a master negotiator /</v>
      </c>
      <c r="D372" s="1" t="str">
        <f t="shared" si="14"/>
        <v>4F西文書庫 4F Western Language Books</v>
      </c>
      <c r="E372" s="1" t="str">
        <f>("HF5438.25 D272 1999")</f>
        <v>HF5438.25 D272 1999</v>
      </c>
    </row>
    <row r="373" spans="2:9" x14ac:dyDescent="0.25">
      <c r="B373" s="1" t="str">
        <f>("W00003178")</f>
        <v>W00003178</v>
      </c>
      <c r="C373" s="1" t="str">
        <f>("The woman's new selling game :how to sell yourself and anything else /")</f>
        <v>The woman's new selling game :how to sell yourself and anything else /</v>
      </c>
      <c r="D373" s="1" t="str">
        <f t="shared" si="14"/>
        <v>4F西文書庫 4F Western Language Books</v>
      </c>
      <c r="E373" s="1" t="str">
        <f>("HF5438.25 H991 1998")</f>
        <v>HF5438.25 H991 1998</v>
      </c>
    </row>
    <row r="374" spans="2:9" x14ac:dyDescent="0.25">
      <c r="B374" s="1" t="str">
        <f>("W00002105")</f>
        <v>W00002105</v>
      </c>
      <c r="C374" s="1" t="str">
        <f>("Sales and operations for your small business / ")</f>
        <v xml:space="preserve">Sales and operations for your small business / </v>
      </c>
      <c r="D374" s="1" t="str">
        <f t="shared" si="14"/>
        <v>4F西文書庫 4F Western Language Books</v>
      </c>
      <c r="E374" s="1" t="str">
        <f>("HF5438.4 B974 2001")</f>
        <v>HF5438.4 B974 2001</v>
      </c>
    </row>
    <row r="375" spans="2:9" x14ac:dyDescent="0.25">
      <c r="B375" s="1" t="str">
        <f>("W00002126")</f>
        <v>W00002126</v>
      </c>
      <c r="C375" s="1" t="str">
        <f>("Sales management /")</f>
        <v>Sales management /</v>
      </c>
      <c r="D375" s="1" t="str">
        <f t="shared" si="14"/>
        <v>4F西文書庫 4F Western Language Books</v>
      </c>
      <c r="E375" s="1" t="str">
        <f>("HF5438.4 C168 2001")</f>
        <v>HF5438.4 C168 2001</v>
      </c>
    </row>
    <row r="376" spans="2:9" x14ac:dyDescent="0.25">
      <c r="B376" s="1" t="str">
        <f>("W00002458")</f>
        <v>W00002458</v>
      </c>
      <c r="C376" s="1" t="str">
        <f>("Sales management :concepts and cases /")</f>
        <v>Sales management :concepts and cases /</v>
      </c>
      <c r="D376" s="1" t="str">
        <f t="shared" si="14"/>
        <v>4F西文書庫 4F Western Language Books</v>
      </c>
      <c r="E376" s="1" t="str">
        <f>("HF5438.4 D151 1998")</f>
        <v>HF5438.4 D151 1998</v>
      </c>
    </row>
    <row r="377" spans="2:9" x14ac:dyDescent="0.25">
      <c r="B377" s="1" t="str">
        <f>("W00003210")</f>
        <v>W00003210</v>
      </c>
      <c r="C377" s="1" t="str">
        <f>("High performance sales organizations :achieving competitive advantage in the global marketplace /")</f>
        <v>High performance sales organizations :achieving competitive advantage in the global marketplace /</v>
      </c>
      <c r="D377" s="1" t="str">
        <f t="shared" si="14"/>
        <v>4F西文書庫 4F Western Language Books</v>
      </c>
      <c r="E377" s="1" t="str">
        <f>("HF5438.4 H638 2000")</f>
        <v>HF5438.4 H638 2000</v>
      </c>
    </row>
    <row r="378" spans="2:9" x14ac:dyDescent="0.25">
      <c r="B378" s="1" t="str">
        <f>("W00002534")</f>
        <v>W00002534</v>
      </c>
      <c r="C378" s="1" t="str">
        <f>("Sales management :a career path approach /")</f>
        <v>Sales management :a career path approach /</v>
      </c>
      <c r="D378" s="1" t="str">
        <f t="shared" si="14"/>
        <v>4F西文書庫 4F Western Language Books</v>
      </c>
      <c r="E378" s="1" t="str">
        <f>("HF5438.4 H893 1999")</f>
        <v>HF5438.4 H893 1999</v>
      </c>
      <c r="G378" s="1" t="str">
        <f>("xx, 453 p. : ")</f>
        <v xml:space="preserve">xx, 453 p. : </v>
      </c>
      <c r="H378" s="1" t="str">
        <f>("ill. ; ")</f>
        <v xml:space="preserve">ill. ; </v>
      </c>
      <c r="I378" s="1" t="str">
        <f>("26 cm. ")</f>
        <v xml:space="preserve">26 cm. </v>
      </c>
    </row>
    <row r="379" spans="2:9" x14ac:dyDescent="0.25">
      <c r="B379" s="1" t="str">
        <f>("W00002572")</f>
        <v>W00002572</v>
      </c>
      <c r="C379" s="1" t="str">
        <f>("Sales management :strategy, technology, skills /")</f>
        <v>Sales management :strategy, technology, skills /</v>
      </c>
      <c r="D379" s="1" t="str">
        <f t="shared" si="14"/>
        <v>4F西文書庫 4F Western Language Books</v>
      </c>
      <c r="E379" s="1" t="str">
        <f>("HF5438.4 M739 1997")</f>
        <v>HF5438.4 M739 1997</v>
      </c>
    </row>
    <row r="380" spans="2:9" x14ac:dyDescent="0.25">
      <c r="B380" s="1" t="str">
        <f>("W00003119")</f>
        <v>W00003119</v>
      </c>
      <c r="C380" s="1" t="str">
        <f>("Successful sales management :how to make your team the best /")</f>
        <v>Successful sales management :how to make your team the best /</v>
      </c>
      <c r="D380" s="1" t="str">
        <f t="shared" si="14"/>
        <v>4F西文書庫 4F Western Language Books</v>
      </c>
      <c r="E380" s="1" t="str">
        <f>("HF5438.4 S849 2000")</f>
        <v>HF5438.4 S849 2000</v>
      </c>
    </row>
    <row r="381" spans="2:9" x14ac:dyDescent="0.25">
      <c r="B381" s="1" t="str">
        <f>("W00003184")</f>
        <v>W00003184</v>
      </c>
      <c r="C381" s="1" t="str">
        <f>("eBay the smart way :selling, buying, and profiting on the Web's #1 auction site /")</f>
        <v>eBay the smart way :selling, buying, and profiting on the Web's #1 auction site /</v>
      </c>
      <c r="D381" s="1" t="str">
        <f t="shared" si="14"/>
        <v>4F西文書庫 4F Western Language Books</v>
      </c>
      <c r="E381" s="1" t="str">
        <f>("HF5478 S616 2001")</f>
        <v>HF5478 S616 2001</v>
      </c>
    </row>
    <row r="382" spans="2:9" x14ac:dyDescent="0.25">
      <c r="B382" s="1" t="str">
        <f>("W00003198")</f>
        <v>W00003198</v>
      </c>
      <c r="C382" s="1" t="str">
        <f>("The e-auction insider :get the most out of your online experience /")</f>
        <v>The e-auction insider :get the most out of your online experience /</v>
      </c>
      <c r="D382" s="1" t="str">
        <f t="shared" si="14"/>
        <v>4F西文書庫 4F Western Language Books</v>
      </c>
      <c r="E382" s="1" t="str">
        <f>("HF5478 T239 2000")</f>
        <v>HF5478 T239 2000</v>
      </c>
    </row>
    <row r="383" spans="2:9" x14ac:dyDescent="0.25">
      <c r="B383" s="1" t="str">
        <f>("W00002394")</f>
        <v>W00002394</v>
      </c>
      <c r="C383" s="1" t="str">
        <f>("Phone power :increase your effectiveness every time you're on the phone /")</f>
        <v>Phone power :increase your effectiveness every time you're on the phone /</v>
      </c>
      <c r="D383" s="1" t="str">
        <f t="shared" si="14"/>
        <v>4F西文書庫 4F Western Language Books</v>
      </c>
      <c r="E383" s="1" t="str">
        <f>("HF5541.T4 M835 1998")</f>
        <v>HF5541.T4 M835 1998</v>
      </c>
    </row>
    <row r="384" spans="2:9" x14ac:dyDescent="0.25">
      <c r="B384" s="1" t="str">
        <f>("W00002763")</f>
        <v>W00002763</v>
      </c>
      <c r="C384" s="1" t="str">
        <f>("SanFrancisco life cycle programming techniques /")</f>
        <v>SanFrancisco life cycle programming techniques /</v>
      </c>
      <c r="D384" s="1" t="str">
        <f t="shared" si="14"/>
        <v>4F西文書庫 4F Western Language Books</v>
      </c>
      <c r="E384" s="1" t="str">
        <f>("HF5547.15 J68 2000")</f>
        <v>HF5547.15 J68 2000</v>
      </c>
    </row>
    <row r="385" spans="2:9" x14ac:dyDescent="0.25">
      <c r="B385" s="1" t="str">
        <f>("W00002376")</f>
        <v>W00002376</v>
      </c>
      <c r="C385" s="1" t="str">
        <f>("The Harvard Business School Guide to Careers in Finance 2001 Edition ")</f>
        <v xml:space="preserve">The Harvard Business School Guide to Careers in Finance 2001 Edition </v>
      </c>
      <c r="D385" s="1" t="str">
        <f t="shared" si="14"/>
        <v>4F西文書庫 4F Western Language Books</v>
      </c>
      <c r="E385" s="1" t="str">
        <f>("HF5548 H474 2000")</f>
        <v>HF5548 H474 2000</v>
      </c>
    </row>
    <row r="386" spans="2:9" x14ac:dyDescent="0.25">
      <c r="B386" s="1" t="str">
        <f>("W00002275")</f>
        <v>W00002275</v>
      </c>
      <c r="C386" s="1" t="str">
        <f>("Mission-based management :an organizational development workbook /")</f>
        <v>Mission-based management :an organizational development workbook /</v>
      </c>
      <c r="D386" s="1" t="str">
        <f t="shared" si="14"/>
        <v>4F西文書庫 4F Western Language Books</v>
      </c>
      <c r="E386" s="1" t="str">
        <f>("HF5548.2 B858 2001")</f>
        <v>HF5548.2 B858 2001</v>
      </c>
    </row>
    <row r="387" spans="2:9" x14ac:dyDescent="0.25">
      <c r="B387" s="1" t="str">
        <f>("W00002426")</f>
        <v>W00002426</v>
      </c>
      <c r="C387" s="1" t="str">
        <f>("The power of now :how winning companies sense and respond to change using real-time technology /")</f>
        <v>The power of now :how winning companies sense and respond to change using real-time technology /</v>
      </c>
      <c r="D387" s="1" t="str">
        <f t="shared" si="14"/>
        <v>4F西文書庫 4F Western Language Books</v>
      </c>
      <c r="E387" s="1" t="str">
        <f>("HF5548.3 R185 1999")</f>
        <v>HF5548.3 R185 1999</v>
      </c>
    </row>
    <row r="388" spans="2:9" x14ac:dyDescent="0.25">
      <c r="B388" s="1" t="str">
        <f>("W00002790")</f>
        <v>W00002790</v>
      </c>
      <c r="C388" s="1" t="str">
        <f>("The e-business (r)evolution : living and working in an interconnected world / ")</f>
        <v xml:space="preserve">The e-business (r)evolution : living and working in an interconnected world / </v>
      </c>
      <c r="D388" s="1" t="str">
        <f t="shared" si="14"/>
        <v>4F西文書庫 4F Western Language Books</v>
      </c>
      <c r="E388" s="1" t="str">
        <f>("HF5548.32 A524 1999")</f>
        <v>HF5548.32 A524 1999</v>
      </c>
    </row>
    <row r="389" spans="2:9" x14ac:dyDescent="0.25">
      <c r="B389" s="1" t="str">
        <f>("W00002249")</f>
        <v>W00002249</v>
      </c>
      <c r="C389" s="1" t="str">
        <f>("How to survive the E-business downturn:/")</f>
        <v>How to survive the E-business downturn:/</v>
      </c>
      <c r="D389" s="1" t="str">
        <f t="shared" si="14"/>
        <v>4F西文書庫 4F Western Language Books</v>
      </c>
      <c r="E389" s="1" t="str">
        <f>("HF5548.32 B278 2000")</f>
        <v>HF5548.32 B278 2000</v>
      </c>
    </row>
    <row r="390" spans="2:9" x14ac:dyDescent="0.25">
      <c r="B390" s="1" t="str">
        <f>("W00003123")</f>
        <v>W00003123</v>
      </c>
      <c r="C390" s="1" t="str">
        <f>("The interactive marketplace /")</f>
        <v>The interactive marketplace /</v>
      </c>
      <c r="D390" s="1" t="str">
        <f t="shared" si="14"/>
        <v>4F西文書庫 4F Western Language Books</v>
      </c>
      <c r="E390" s="1" t="str">
        <f>("HF5548.32 B878 2001")</f>
        <v>HF5548.32 B878 2001</v>
      </c>
      <c r="G390" s="1" t="str">
        <f>("x, 240 p. :")</f>
        <v>x, 240 p. :</v>
      </c>
      <c r="H390" s="1" t="str">
        <f>("ill. ;")</f>
        <v>ill. ;</v>
      </c>
      <c r="I390" s="1" t="str">
        <f>("24 cm.")</f>
        <v>24 cm.</v>
      </c>
    </row>
    <row r="391" spans="2:9" x14ac:dyDescent="0.25">
      <c r="B391" s="1" t="str">
        <f>("W00002604")</f>
        <v>W00002604</v>
      </c>
      <c r="C391" s="1" t="str">
        <f>("E-business and IS solutions : an architectural approach to business problems and opportunities / ")</f>
        <v xml:space="preserve">E-business and IS solutions : an architectural approach to business problems and opportunities / </v>
      </c>
      <c r="D391" s="1" t="str">
        <f t="shared" si="14"/>
        <v>4F西文書庫 4F Western Language Books</v>
      </c>
      <c r="E391" s="1" t="str">
        <f>("HF5548.32 B929 2000")</f>
        <v>HF5548.32 B929 2000</v>
      </c>
    </row>
    <row r="392" spans="2:9" x14ac:dyDescent="0.25">
      <c r="B392" s="1" t="str">
        <f>("W00002852")</f>
        <v>W00002852</v>
      </c>
      <c r="C392" s="1" t="str">
        <f>("Internet Open Trading Protocol / ")</f>
        <v xml:space="preserve">Internet Open Trading Protocol / </v>
      </c>
      <c r="D392" s="1" t="str">
        <f t="shared" si="14"/>
        <v>4F西文書庫 4F Western Language Books</v>
      </c>
      <c r="E392" s="1" t="str">
        <f>("HF5548.32 B951 2000")</f>
        <v>HF5548.32 B951 2000</v>
      </c>
    </row>
    <row r="393" spans="2:9" x14ac:dyDescent="0.25">
      <c r="B393" s="1" t="str">
        <f>("W00002104")</f>
        <v>W00002104</v>
      </c>
      <c r="C393" s="1" t="str">
        <f>("Strategic management of e-business / ")</f>
        <v xml:space="preserve">Strategic management of e-business / </v>
      </c>
      <c r="D393" s="1" t="str">
        <f t="shared" si="14"/>
        <v>4F西文書庫 4F Western Language Books</v>
      </c>
      <c r="E393" s="1" t="str">
        <f>("HF5548.32 C518 2001 c.2")</f>
        <v>HF5548.32 C518 2001 c.2</v>
      </c>
    </row>
    <row r="394" spans="2:9" x14ac:dyDescent="0.25">
      <c r="B394" s="1" t="str">
        <f>("W00002441")</f>
        <v>W00002441</v>
      </c>
      <c r="C394" s="1" t="str">
        <f>("Business-to-business bible /")</f>
        <v>Business-to-business bible /</v>
      </c>
      <c r="D394" s="1" t="str">
        <f t="shared" si="14"/>
        <v>4F西文書庫 4F Western Language Books</v>
      </c>
      <c r="E394" s="1" t="str">
        <f>("HF5548.32 C699-2 2000")</f>
        <v>HF5548.32 C699-2 2000</v>
      </c>
    </row>
    <row r="395" spans="2:9" x14ac:dyDescent="0.25">
      <c r="B395" s="1" t="str">
        <f>("W00002821")</f>
        <v>W00002821</v>
      </c>
      <c r="C395" s="1" t="str">
        <f>("e-Business readiness : a customer-focused framework / ")</f>
        <v xml:space="preserve">e-Business readiness : a customer-focused framework / </v>
      </c>
      <c r="D395" s="1" t="str">
        <f t="shared" si="14"/>
        <v>4F西文書庫 4F Western Language Books</v>
      </c>
      <c r="E395" s="1" t="str">
        <f>("HF5548.32 C886 2001")</f>
        <v>HF5548.32 C886 2001</v>
      </c>
    </row>
    <row r="396" spans="2:9" x14ac:dyDescent="0.25">
      <c r="B396" s="1" t="str">
        <f>("W00002074")</f>
        <v>W00002074</v>
      </c>
      <c r="C396" s="1" t="str">
        <f>("Unchained value :the new logic of digital business /")</f>
        <v>Unchained value :the new logic of digital business /</v>
      </c>
      <c r="D396" s="1" t="str">
        <f t="shared" si="14"/>
        <v>4F西文書庫 4F Western Language Books</v>
      </c>
      <c r="E396" s="1" t="str">
        <f>("HF5548.32 C947 2000")</f>
        <v>HF5548.32 C947 2000</v>
      </c>
    </row>
    <row r="397" spans="2:9" x14ac:dyDescent="0.25">
      <c r="B397" s="1" t="str">
        <f>("W00003130")</f>
        <v>W00003130</v>
      </c>
      <c r="C397" s="1" t="str">
        <f>("Corporate portals and ebusiness integration /")</f>
        <v>Corporate portals and ebusiness integration /</v>
      </c>
      <c r="D397" s="1" t="str">
        <f t="shared" si="14"/>
        <v>4F西文書庫 4F Western Language Books</v>
      </c>
      <c r="E397" s="1" t="str">
        <f>("HF5548.32 D268 2001")</f>
        <v>HF5548.32 D268 2001</v>
      </c>
    </row>
    <row r="398" spans="2:9" x14ac:dyDescent="0.25">
      <c r="B398" s="1" t="str">
        <f>("W00003106")</f>
        <v>W00003106</v>
      </c>
      <c r="C398" s="1" t="str">
        <f>("How to write a.com business plan :the Internat entrepreneur's guide to everything you need to know about business plans and financing options /")</f>
        <v>How to write a.com business plan :the Internat entrepreneur's guide to everything you need to know about business plans and financing options /</v>
      </c>
      <c r="D398" s="1" t="str">
        <f t="shared" si="14"/>
        <v>4F西文書庫 4F Western Language Books</v>
      </c>
      <c r="E398" s="1" t="str">
        <f>("HF5548.32 E31 2001")</f>
        <v>HF5548.32 E31 2001</v>
      </c>
    </row>
    <row r="399" spans="2:9" x14ac:dyDescent="0.25">
      <c r="B399" s="1" t="str">
        <f>("W00002597")</f>
        <v>W00002597</v>
      </c>
      <c r="C399" s="1" t="str">
        <f>("eBusiness : a beginner's guide / ")</f>
        <v xml:space="preserve">eBusiness : a beginner's guide / </v>
      </c>
      <c r="D399" s="1" t="str">
        <f t="shared" si="14"/>
        <v>4F西文書庫 4F Western Language Books</v>
      </c>
      <c r="E399" s="1" t="str">
        <f>("HF5548.32 E49 2001")</f>
        <v>HF5548.32 E49 2001</v>
      </c>
    </row>
    <row r="400" spans="2:9" x14ac:dyDescent="0.25">
      <c r="B400" s="1" t="str">
        <f>("W00002848")</f>
        <v>W00002848</v>
      </c>
      <c r="C400" s="1" t="str">
        <f>("Managing the Web-based enterprise /")</f>
        <v>Managing the Web-based enterprise /</v>
      </c>
      <c r="D400" s="1" t="str">
        <f t="shared" si="14"/>
        <v>4F西文書庫 4F Western Language Books</v>
      </c>
      <c r="E400" s="1" t="str">
        <f>("HF5548.32 F298 2000")</f>
        <v>HF5548.32 F298 2000</v>
      </c>
      <c r="G400" s="1" t="str">
        <f>("xxiv, 323 p. :")</f>
        <v>xxiv, 323 p. :</v>
      </c>
      <c r="H400" s="1" t="str">
        <f>("ill. ;")</f>
        <v>ill. ;</v>
      </c>
      <c r="I400" s="1" t="str">
        <f>("24 cm ")</f>
        <v xml:space="preserve">24 cm </v>
      </c>
    </row>
    <row r="401" spans="2:9" x14ac:dyDescent="0.25">
      <c r="B401" s="1" t="str">
        <f>("W00002581")</f>
        <v>W00002581</v>
      </c>
      <c r="C401" s="1" t="str">
        <f>("The e-commerce arsenal :12 technologies you need to prevail in the digital arena /")</f>
        <v>The e-commerce arsenal :12 technologies you need to prevail in the digital arena /</v>
      </c>
      <c r="D401" s="1" t="str">
        <f t="shared" si="14"/>
        <v>4F西文書庫 4F Western Language Books</v>
      </c>
      <c r="E401" s="1" t="str">
        <f>("HF5548.32 G983 2001")</f>
        <v>HF5548.32 G983 2001</v>
      </c>
    </row>
    <row r="402" spans="2:9" x14ac:dyDescent="0.25">
      <c r="B402" s="1" t="str">
        <f>("W00002920")</f>
        <v>W00002920</v>
      </c>
      <c r="C402" s="1" t="str">
        <f>("Apache Web server administration &amp; e-commerce handbook / ")</f>
        <v xml:space="preserve">Apache Web server administration &amp; e-commerce handbook / </v>
      </c>
      <c r="D402" s="1" t="str">
        <f t="shared" ref="D402:D422" si="15">("4F西文書庫 4F Western Language Books")</f>
        <v>4F西文書庫 4F Western Language Books</v>
      </c>
      <c r="E402" s="1" t="str">
        <f>("HF5548.32 H393 2001")</f>
        <v>HF5548.32 H393 2001</v>
      </c>
    </row>
    <row r="403" spans="2:9" x14ac:dyDescent="0.25">
      <c r="B403" s="1" t="str">
        <f>("W00002632")</f>
        <v>W00002632</v>
      </c>
      <c r="C403" s="1" t="str">
        <f>("Small business solutions : E-commerce / ")</f>
        <v xml:space="preserve">Small business solutions : E-commerce / </v>
      </c>
      <c r="D403" s="1" t="str">
        <f t="shared" si="15"/>
        <v>4F西文書庫 4F Western Language Books</v>
      </c>
      <c r="E403" s="1" t="str">
        <f>("HF5548.32 K47 2000")</f>
        <v>HF5548.32 K47 2000</v>
      </c>
    </row>
    <row r="404" spans="2:9" x14ac:dyDescent="0.25">
      <c r="B404" s="1" t="str">
        <f>("W00002587")</f>
        <v>W00002587</v>
      </c>
      <c r="C404" s="1" t="str">
        <f>("BizTalk : implementing business-to-business e-commerce / ")</f>
        <v xml:space="preserve">BizTalk : implementing business-to-business e-commerce / </v>
      </c>
      <c r="D404" s="1" t="str">
        <f t="shared" si="15"/>
        <v>4F西文書庫 4F Western Language Books</v>
      </c>
      <c r="E404" s="1" t="str">
        <f>("HF5548.32 K75 2001")</f>
        <v>HF5548.32 K75 2001</v>
      </c>
    </row>
    <row r="405" spans="2:9" x14ac:dyDescent="0.25">
      <c r="B405" s="1" t="str">
        <f>("W00002428")</f>
        <v>W00002428</v>
      </c>
      <c r="C405" s="1" t="str">
        <f>("Radical E :from GE to Enron - lessons on how to rule the web /")</f>
        <v>Radical E :from GE to Enron - lessons on how to rule the web /</v>
      </c>
      <c r="D405" s="1" t="str">
        <f t="shared" si="15"/>
        <v>4F西文書庫 4F Western Language Books</v>
      </c>
      <c r="E405" s="1" t="str">
        <f>("HF5548.32 K95 2001")</f>
        <v>HF5548.32 K95 2001</v>
      </c>
      <c r="G405" s="1" t="str">
        <f>("x,213p. ;")</f>
        <v>x,213p. ;</v>
      </c>
      <c r="I405" s="1" t="str">
        <f>("24 cm")</f>
        <v>24 cm</v>
      </c>
    </row>
    <row r="406" spans="2:9" x14ac:dyDescent="0.25">
      <c r="B406" s="1" t="str">
        <f>("W00002802")</f>
        <v>W00002802</v>
      </c>
      <c r="C406" s="1" t="str">
        <f>("Scaling for e-business :technologies, models, performance, and capacity planning /")</f>
        <v>Scaling for e-business :technologies, models, performance, and capacity planning /</v>
      </c>
      <c r="D406" s="1" t="str">
        <f t="shared" si="15"/>
        <v>4F西文書庫 4F Western Language Books</v>
      </c>
      <c r="E406" s="1" t="str">
        <f>("HF5548.32 M535 2000")</f>
        <v>HF5548.32 M535 2000</v>
      </c>
    </row>
    <row r="407" spans="2:9" x14ac:dyDescent="0.25">
      <c r="B407" s="1" t="str">
        <f>("W00003183")</f>
        <v>W00003183</v>
      </c>
      <c r="C407" s="1" t="str">
        <f>("Digital transformation :the essentials of e-business leadership /")</f>
        <v>Digital transformation :the essentials of e-business leadership /</v>
      </c>
      <c r="D407" s="1" t="str">
        <f t="shared" si="15"/>
        <v>4F西文書庫 4F Western Language Books</v>
      </c>
      <c r="E407" s="1" t="str">
        <f>("HF5548.32 P295 2000")</f>
        <v>HF5548.32 P295 2000</v>
      </c>
    </row>
    <row r="408" spans="2:9" x14ac:dyDescent="0.25">
      <c r="B408" s="1" t="str">
        <f>("W00003117")</f>
        <v>W00003117</v>
      </c>
      <c r="C408" s="1" t="str">
        <f>("Pushing the digital frontier :insights into the changing landscape of e-business /")</f>
        <v>Pushing the digital frontier :insights into the changing landscape of e-business /</v>
      </c>
      <c r="D408" s="1" t="str">
        <f t="shared" si="15"/>
        <v>4F西文書庫 4F Western Language Books</v>
      </c>
      <c r="E408" s="1" t="str">
        <f>("HF5548.32 P987 2001")</f>
        <v>HF5548.32 P987 2001</v>
      </c>
    </row>
    <row r="409" spans="2:9" x14ac:dyDescent="0.25">
      <c r="B409" s="1" t="str">
        <f>("W00002576")</f>
        <v>W00002576</v>
      </c>
      <c r="C409" s="1" t="str">
        <f>("The e-marketplace : strategies for success in B2B ecommerce / ")</f>
        <v xml:space="preserve">The e-marketplace : strategies for success in B2B ecommerce / </v>
      </c>
      <c r="D409" s="1" t="str">
        <f t="shared" si="15"/>
        <v>4F西文書庫 4F Western Language Books</v>
      </c>
      <c r="E409" s="1" t="str">
        <f>("HF5548.32 R149 2001")</f>
        <v>HF5548.32 R149 2001</v>
      </c>
    </row>
    <row r="410" spans="2:9" x14ac:dyDescent="0.25">
      <c r="B410" s="1" t="str">
        <f>("W00002666")</f>
        <v>W00002666</v>
      </c>
      <c r="C410" s="1" t="str">
        <f>("The complete e-commerce book :design, build &amp; maintain asuccessful web-based business /")</f>
        <v>The complete e-commerce book :design, build &amp; maintain asuccessful web-based business /</v>
      </c>
      <c r="D410" s="1" t="str">
        <f t="shared" si="15"/>
        <v>4F西文書庫 4F Western Language Books</v>
      </c>
      <c r="E410" s="1" t="str">
        <f>("HF5548.32 R463 2000")</f>
        <v>HF5548.32 R463 2000</v>
      </c>
    </row>
    <row r="411" spans="2:9" x14ac:dyDescent="0.25">
      <c r="B411" s="1" t="str">
        <f>("W00002339")</f>
        <v>W00002339</v>
      </c>
      <c r="C411" s="1" t="str">
        <f>("Doing e-business : strategies for thriving in an electronic marketplace / ")</f>
        <v xml:space="preserve">Doing e-business : strategies for thriving in an electronic marketplace / </v>
      </c>
      <c r="D411" s="1" t="str">
        <f t="shared" si="15"/>
        <v>4F西文書庫 4F Western Language Books</v>
      </c>
      <c r="E411" s="1" t="str">
        <f>("HF5548.32 T238 2001")</f>
        <v>HF5548.32 T238 2001</v>
      </c>
    </row>
    <row r="412" spans="2:9" x14ac:dyDescent="0.25">
      <c r="B412" s="1" t="str">
        <f>("W00003172")</f>
        <v>W00003172</v>
      </c>
      <c r="C412" s="1" t="str">
        <f>("TechVenture :new rules on value and profit from Silicon Valley /")</f>
        <v>TechVenture :new rules on value and profit from Silicon Valley /</v>
      </c>
      <c r="D412" s="1" t="str">
        <f t="shared" si="15"/>
        <v>4F西文書庫 4F Western Language Books</v>
      </c>
      <c r="E412" s="1" t="str">
        <f>("HF5548.32 T255 2001")</f>
        <v>HF5548.32 T255 2001</v>
      </c>
    </row>
    <row r="413" spans="2:9" x14ac:dyDescent="0.25">
      <c r="B413" s="1" t="str">
        <f>("W00002256")</f>
        <v>W00002256</v>
      </c>
      <c r="C413" s="1" t="str">
        <f>("Electronic commerce :strategies and models for business-to-business trading /")</f>
        <v>Electronic commerce :strategies and models for business-to-business trading /</v>
      </c>
      <c r="D413" s="1" t="str">
        <f t="shared" si="15"/>
        <v>4F西文書庫 4F Western Language Books</v>
      </c>
      <c r="E413" s="1" t="str">
        <f>("HF5548.32 T584 1999")</f>
        <v>HF5548.32 T584 1999</v>
      </c>
      <c r="G413" s="1" t="str">
        <f>("xx, 268 p. :")</f>
        <v>xx, 268 p. :</v>
      </c>
      <c r="H413" s="1" t="str">
        <f>("ill. ;")</f>
        <v>ill. ;</v>
      </c>
      <c r="I413" s="1" t="str">
        <f>("24 cm.")</f>
        <v>24 cm.</v>
      </c>
    </row>
    <row r="414" spans="2:9" x14ac:dyDescent="0.25">
      <c r="B414" s="1" t="str">
        <f>("W00002867")</f>
        <v>W00002867</v>
      </c>
      <c r="C414" s="1" t="str">
        <f>("Killer content : strategies for Web content and E-commerce / ")</f>
        <v xml:space="preserve">Killer content : strategies for Web content and E-commerce / </v>
      </c>
      <c r="D414" s="1" t="str">
        <f t="shared" si="15"/>
        <v>4F西文書庫 4F Western Language Books</v>
      </c>
      <c r="E414" s="1" t="str">
        <f>("HF5548.32 T655 2000")</f>
        <v>HF5548.32 T655 2000</v>
      </c>
    </row>
    <row r="415" spans="2:9" x14ac:dyDescent="0.25">
      <c r="B415" s="1" t="str">
        <f>("W00003115")</f>
        <v>W00003115</v>
      </c>
      <c r="C415" s="1" t="str">
        <f>("Place to space /")</f>
        <v>Place to space /</v>
      </c>
      <c r="D415" s="1" t="str">
        <f t="shared" si="15"/>
        <v>4F西文書庫 4F Western Language Books</v>
      </c>
      <c r="E415" s="1" t="str">
        <f>("HF5548.32 W422 2001")</f>
        <v>HF5548.32 W422 2001</v>
      </c>
    </row>
    <row r="416" spans="2:9" x14ac:dyDescent="0.25">
      <c r="B416" s="1" t="str">
        <f>("W00002407")</f>
        <v>W00002407</v>
      </c>
      <c r="C416" s="1" t="str">
        <f>("E-Commerce:strategy,technologies and application/")</f>
        <v>E-Commerce:strategy,technologies and application/</v>
      </c>
      <c r="D416" s="1" t="str">
        <f t="shared" si="15"/>
        <v>4F西文書庫 4F Western Language Books</v>
      </c>
      <c r="E416" s="1" t="str">
        <f>("HF5548.32 W594 2000")</f>
        <v>HF5548.32 W594 2000</v>
      </c>
    </row>
    <row r="417" spans="2:9" x14ac:dyDescent="0.25">
      <c r="B417" s="1" t="str">
        <f>("W00003143")</f>
        <v>W00003143</v>
      </c>
      <c r="C417" s="1" t="str">
        <f>("The get-started guide to e-commerce :getting online, creating successful Web sites, order fulfillment, getting noticed /")</f>
        <v>The get-started guide to e-commerce :getting online, creating successful Web sites, order fulfillment, getting noticed /</v>
      </c>
      <c r="D417" s="1" t="str">
        <f t="shared" si="15"/>
        <v>4F西文書庫 4F Western Language Books</v>
      </c>
      <c r="E417" s="1" t="str">
        <f>("HF5548.32 Z69 2001")</f>
        <v>HF5548.32 Z69 2001</v>
      </c>
    </row>
    <row r="418" spans="2:9" x14ac:dyDescent="0.25">
      <c r="B418" s="1" t="str">
        <f>("W00003131")</f>
        <v>W00003131</v>
      </c>
      <c r="C418" s="1" t="str">
        <f>("DotCom divas :E-business insights from the visionary women founders of 20 net ventures /")</f>
        <v>DotCom divas :E-business insights from the visionary women founders of 20 net ventures /</v>
      </c>
      <c r="D418" s="1" t="str">
        <f t="shared" si="15"/>
        <v>4F西文書庫 4F Western Language Books</v>
      </c>
      <c r="E418" s="1" t="str">
        <f>("HF5548.325.U6 c278 2001")</f>
        <v>HF5548.325.U6 c278 2001</v>
      </c>
    </row>
    <row r="419" spans="2:9" x14ac:dyDescent="0.25">
      <c r="B419" s="1" t="str">
        <f>("W00002643")</f>
        <v>W00002643</v>
      </c>
      <c r="C419" s="1" t="str">
        <f>("Domino system administration / ")</f>
        <v xml:space="preserve">Domino system administration / </v>
      </c>
      <c r="D419" s="1" t="str">
        <f t="shared" si="15"/>
        <v>4F西文書庫 4F Western Language Books</v>
      </c>
      <c r="E419" s="1" t="str">
        <f>("HF5548.4.L673 K59 2000")</f>
        <v>HF5548.4.L673 K59 2000</v>
      </c>
    </row>
    <row r="420" spans="2:9" x14ac:dyDescent="0.25">
      <c r="B420" s="1" t="str">
        <f>("W00002616")</f>
        <v>W00002616</v>
      </c>
      <c r="C420" s="1" t="str">
        <f>("Application developmentaccelerated Lotus Notes study guide /")</f>
        <v>Application developmentaccelerated Lotus Notes study guide /</v>
      </c>
      <c r="D420" s="1" t="str">
        <f t="shared" si="15"/>
        <v>4F西文書庫 4F Western Language Books</v>
      </c>
      <c r="E420" s="1" t="str">
        <f>("HF5548.4.L692 S411 1998")</f>
        <v>HF5548.4.L692 S411 1998</v>
      </c>
    </row>
    <row r="421" spans="2:9" x14ac:dyDescent="0.25">
      <c r="B421" s="1" t="str">
        <f>("W00002947")</f>
        <v>W00002947</v>
      </c>
      <c r="C421" s="1" t="str">
        <f>("Macworld Microsoft Office 2001 bible / ")</f>
        <v xml:space="preserve">Macworld Microsoft Office 2001 bible / </v>
      </c>
      <c r="D421" s="1" t="str">
        <f t="shared" si="15"/>
        <v>4F西文書庫 4F Western Language Books</v>
      </c>
      <c r="E421" s="1" t="str">
        <f>("HF5548.4.M525 L664 2001")</f>
        <v>HF5548.4.M525 L664 2001</v>
      </c>
    </row>
    <row r="422" spans="2:9" x14ac:dyDescent="0.25">
      <c r="B422" s="1" t="str">
        <f>("W00002427")</f>
        <v>W00002427</v>
      </c>
      <c r="C422" s="1" t="str">
        <f>("Organizational stress : a review and critique of theory, research, and applications /")</f>
        <v>Organizational stress : a review and critique of theory, research, and applications /</v>
      </c>
      <c r="D422" s="1" t="str">
        <f t="shared" si="15"/>
        <v>4F西文書庫 4F Western Language Books</v>
      </c>
      <c r="E422" s="1" t="str">
        <f>("HF5548.85 C777 2001")</f>
        <v>HF5548.85 C777 2001</v>
      </c>
    </row>
    <row r="423" spans="2:9" x14ac:dyDescent="0.25">
      <c r="B423" s="1" t="str">
        <f>("W00002207")</f>
        <v>W00002207</v>
      </c>
      <c r="C423" s="1" t="str">
        <f>("Theories of organizational stress /")</f>
        <v>Theories of organizational stress /</v>
      </c>
      <c r="D423" s="1" t="str">
        <f>("罕用書庫1-洽櫃台填單 Upon-Request Collection1 fil")</f>
        <v>罕用書庫1-洽櫃台填單 Upon-Request Collection1 fil</v>
      </c>
      <c r="E423" s="1" t="str">
        <f>("HF5548.85 T396 1998 c.2")</f>
        <v>HF5548.85 T396 1998 c.2</v>
      </c>
      <c r="G423" s="1" t="str">
        <f>("xviii, 275 p. :")</f>
        <v>xviii, 275 p. :</v>
      </c>
      <c r="H423" s="1" t="str">
        <f>("ill. ;")</f>
        <v>ill. ;</v>
      </c>
      <c r="I423" s="1" t="str">
        <f>("24 cm ")</f>
        <v xml:space="preserve">24 cm </v>
      </c>
    </row>
    <row r="424" spans="2:9" x14ac:dyDescent="0.25">
      <c r="B424" s="1" t="str">
        <f>("W00002144")</f>
        <v>W00002144</v>
      </c>
      <c r="C424" s="1" t="str">
        <f>("Human resource strategy :formulation, implementation, and impact /")</f>
        <v>Human resource strategy :formulation, implementation, and impact /</v>
      </c>
      <c r="D424" s="1" t="str">
        <f t="shared" ref="D424:D453" si="16">("4F西文書庫 4F Western Language Books")</f>
        <v>4F西文書庫 4F Western Language Books</v>
      </c>
      <c r="E424" s="1" t="str">
        <f>("HF5549 B199 2000")</f>
        <v>HF5549 B199 2000</v>
      </c>
    </row>
    <row r="425" spans="2:9" x14ac:dyDescent="0.25">
      <c r="B425" s="1" t="str">
        <f>("W00002066")</f>
        <v>W00002066</v>
      </c>
      <c r="C425" s="1" t="str">
        <f>("Do you dot-com? :a field guide to understanding life at an Internet company /")</f>
        <v>Do you dot-com? :a field guide to understanding life at an Internet company /</v>
      </c>
      <c r="D425" s="1" t="str">
        <f t="shared" si="16"/>
        <v>4F西文書庫 4F Western Language Books</v>
      </c>
      <c r="E425" s="1" t="str">
        <f>("HF5549 C278 2001")</f>
        <v>HF5549 C278 2001</v>
      </c>
    </row>
    <row r="426" spans="2:9" x14ac:dyDescent="0.25">
      <c r="B426" s="1" t="str">
        <f>("W00002507")</f>
        <v>W00002507</v>
      </c>
      <c r="C426" s="1" t="str">
        <f>("Human resource development / ")</f>
        <v xml:space="preserve">Human resource development / </v>
      </c>
      <c r="D426" s="1" t="str">
        <f t="shared" si="16"/>
        <v>4F西文書庫 4F Western Language Books</v>
      </c>
      <c r="E426" s="1" t="str">
        <f>("HF5549 D457 1998")</f>
        <v>HF5549 D457 1998</v>
      </c>
    </row>
    <row r="427" spans="2:9" x14ac:dyDescent="0.25">
      <c r="B427" s="1" t="str">
        <f>("W00002285")</f>
        <v>W00002285</v>
      </c>
      <c r="C427" s="1" t="str">
        <f>("Inspirtaion trainer:making your training flexible,spontaneous and creative/")</f>
        <v>Inspirtaion trainer:making your training flexible,spontaneous and creative/</v>
      </c>
      <c r="D427" s="1" t="str">
        <f t="shared" si="16"/>
        <v>4F西文書庫 4F Western Language Books</v>
      </c>
      <c r="E427" s="1" t="str">
        <f>("HF5549 J13 2001")</f>
        <v>HF5549 J13 2001</v>
      </c>
    </row>
    <row r="428" spans="2:9" x14ac:dyDescent="0.25">
      <c r="B428" s="1" t="str">
        <f>("W00002381")</f>
        <v>W00002381</v>
      </c>
      <c r="C428" s="1" t="str">
        <f>("How to supervise people : techniques for getting results through others / ")</f>
        <v xml:space="preserve">How to supervise people : techniques for getting results through others / </v>
      </c>
      <c r="D428" s="1" t="str">
        <f t="shared" si="16"/>
        <v>4F西文書庫 4F Western Language Books</v>
      </c>
      <c r="E428" s="1" t="str">
        <f>("HF5549.1 L153 1998")</f>
        <v>HF5549.1 L153 1998</v>
      </c>
    </row>
    <row r="429" spans="2:9" x14ac:dyDescent="0.25">
      <c r="B429" s="1" t="str">
        <f>("W00002374")</f>
        <v>W00002374</v>
      </c>
      <c r="C429" s="1" t="str">
        <f>("Hiring : how to find and keep the best people / ")</f>
        <v xml:space="preserve">Hiring : how to find and keep the best people / </v>
      </c>
      <c r="D429" s="1" t="str">
        <f t="shared" si="16"/>
        <v>4F西文書庫 4F Western Language Books</v>
      </c>
      <c r="E429" s="1" t="str">
        <f>("HF5549.5 D311 1999")</f>
        <v>HF5549.5 D311 1999</v>
      </c>
    </row>
    <row r="430" spans="2:9" x14ac:dyDescent="0.25">
      <c r="B430" s="1" t="str">
        <f>("W00002258")</f>
        <v>W00002258</v>
      </c>
      <c r="C430" s="1" t="str">
        <f>("Harvard business review on finding and keeping the best people. ")</f>
        <v xml:space="preserve">Harvard business review on finding and keeping the best people. </v>
      </c>
      <c r="D430" s="1" t="str">
        <f t="shared" si="16"/>
        <v>4F西文書庫 4F Western Language Books</v>
      </c>
      <c r="E430" s="1" t="str">
        <f>("HF5549.5 H341 2001")</f>
        <v>HF5549.5 H341 2001</v>
      </c>
    </row>
    <row r="431" spans="2:9" x14ac:dyDescent="0.25">
      <c r="B431" s="1" t="str">
        <f>("W00002371")</f>
        <v>W00002371</v>
      </c>
      <c r="C431" s="1" t="str">
        <f>("Powerful performance appraisals : how to set expectations and work together to improve performance / ")</f>
        <v xml:space="preserve">Powerful performance appraisals : how to set expectations and work together to improve performance / </v>
      </c>
      <c r="D431" s="1" t="str">
        <f t="shared" si="16"/>
        <v>4F西文書庫 4F Western Language Books</v>
      </c>
      <c r="E431" s="1" t="str">
        <f>("HF5549.5 M111 1998")</f>
        <v>HF5549.5 M111 1998</v>
      </c>
    </row>
    <row r="432" spans="2:9" x14ac:dyDescent="0.25">
      <c r="B432" s="1" t="str">
        <f>("W00002386")</f>
        <v>W00002386</v>
      </c>
      <c r="C432" s="1" t="str">
        <f>("1,001 ways to inspire : your organization, your team, and yourself / ")</f>
        <v xml:space="preserve">1,001 ways to inspire : your organization, your team, and yourself / </v>
      </c>
      <c r="D432" s="1" t="str">
        <f t="shared" si="16"/>
        <v>4F西文書庫 4F Western Language Books</v>
      </c>
      <c r="E432" s="1" t="str">
        <f>("HF5549.5 R993 1998")</f>
        <v>HF5549.5 R993 1998</v>
      </c>
    </row>
    <row r="433" spans="2:9" x14ac:dyDescent="0.25">
      <c r="B433" s="1" t="str">
        <f>("W00002196")</f>
        <v>W00002196</v>
      </c>
      <c r="C433" s="1" t="str">
        <f>("The compensation solution :how to develop an employee-driven rewards system /")</f>
        <v>The compensation solution :how to develop an employee-driven rewards system /</v>
      </c>
      <c r="D433" s="1" t="str">
        <f t="shared" si="16"/>
        <v>4F西文書庫 4F Western Language Books</v>
      </c>
      <c r="E433" s="1" t="str">
        <f>("HF5549.5.C67 T856 2001")</f>
        <v>HF5549.5.C67 T856 2001</v>
      </c>
    </row>
    <row r="434" spans="2:9" x14ac:dyDescent="0.25">
      <c r="B434" s="1" t="str">
        <f>("W00002402")</f>
        <v>W00002402</v>
      </c>
      <c r="C434" s="1" t="str">
        <f>("101 great answers to the toughest interview questions /")</f>
        <v>101 great answers to the toughest interview questions /</v>
      </c>
      <c r="D434" s="1" t="str">
        <f t="shared" si="16"/>
        <v>4F西文書庫 4F Western Language Books</v>
      </c>
      <c r="E434" s="1" t="str">
        <f>("HF5549.5.I6 F946 2000")</f>
        <v>HF5549.5.I6 F946 2000</v>
      </c>
    </row>
    <row r="435" spans="2:9" x14ac:dyDescent="0.25">
      <c r="B435" s="1" t="str">
        <f>("W00003082")</f>
        <v>W00003082</v>
      </c>
      <c r="C435" s="1" t="str">
        <f>("Interviewing and salary negotiation :for job hunters, career changers, consultants, and freelancers /")</f>
        <v>Interviewing and salary negotiation :for job hunters, career changers, consultants, and freelancers /</v>
      </c>
      <c r="D435" s="1" t="str">
        <f t="shared" si="16"/>
        <v>4F西文書庫 4F Western Language Books</v>
      </c>
      <c r="E435" s="1" t="str">
        <f>("HF5549.5.I6 W471 1999")</f>
        <v>HF5549.5.I6 W471 1999</v>
      </c>
    </row>
    <row r="436" spans="2:9" x14ac:dyDescent="0.25">
      <c r="B436" s="1" t="str">
        <f>("W00003132")</f>
        <v>W00003132</v>
      </c>
      <c r="C436" s="1" t="str">
        <f>("Getting interviews /")</f>
        <v>Getting interviews /</v>
      </c>
      <c r="D436" s="1" t="str">
        <f t="shared" si="16"/>
        <v>4F西文書庫 4F Western Language Books</v>
      </c>
      <c r="E436" s="1" t="str">
        <f>("HF5549.5.I6 W471 2000")</f>
        <v>HF5549.5.I6 W471 2000</v>
      </c>
    </row>
    <row r="437" spans="2:9" x14ac:dyDescent="0.25">
      <c r="B437" s="1" t="str">
        <f>("W00002451")</f>
        <v>W00002451</v>
      </c>
      <c r="C437" s="1" t="str">
        <f>("Managing workplace negativity / ")</f>
        <v xml:space="preserve">Managing workplace negativity / </v>
      </c>
      <c r="D437" s="1" t="str">
        <f t="shared" si="16"/>
        <v>4F西文書庫 4F Western Language Books</v>
      </c>
      <c r="E437" s="1" t="str">
        <f>("HF5549.5.M6 T673 2001")</f>
        <v>HF5549.5.M6 T673 2001</v>
      </c>
    </row>
    <row r="438" spans="2:9" x14ac:dyDescent="0.25">
      <c r="B438" s="1" t="str">
        <f>("W00003145")</f>
        <v>W00003145</v>
      </c>
      <c r="C438" s="1" t="str">
        <f>("Unlock behavior, unleash profits :how your leadership behavior can unlock the profitability of your organization /")</f>
        <v>Unlock behavior, unleash profits :how your leadership behavior can unlock the profitability of your organization /</v>
      </c>
      <c r="D438" s="1" t="str">
        <f t="shared" si="16"/>
        <v>4F西文書庫 4F Western Language Books</v>
      </c>
      <c r="E438" s="1" t="str">
        <f>("HF5549.5.M63 B814 2000")</f>
        <v>HF5549.5.M63 B814 2000</v>
      </c>
      <c r="G438" s="1" t="str">
        <f>("xix, 291 p. :")</f>
        <v>xix, 291 p. :</v>
      </c>
      <c r="H438" s="1" t="str">
        <f>("ill. ;")</f>
        <v>ill. ;</v>
      </c>
      <c r="I438" s="1" t="str">
        <f>("24 cm.")</f>
        <v>24 cm.</v>
      </c>
    </row>
    <row r="439" spans="2:9" x14ac:dyDescent="0.25">
      <c r="B439" s="1" t="str">
        <f>("W00003135")</f>
        <v>W00003135</v>
      </c>
      <c r="C439" s="1" t="str">
        <f>("How to run successful incentive schemes :a manager's guide /")</f>
        <v>How to run successful incentive schemes :a manager's guide /</v>
      </c>
      <c r="D439" s="1" t="str">
        <f t="shared" si="16"/>
        <v>4F西文書庫 4F Western Language Books</v>
      </c>
      <c r="E439" s="1" t="str">
        <f>("HF5549.5.M63 F534 2000")</f>
        <v>HF5549.5.M63 F534 2000</v>
      </c>
    </row>
    <row r="440" spans="2:9" x14ac:dyDescent="0.25">
      <c r="B440" s="1" t="str">
        <f>("W00002277")</f>
        <v>W00002277</v>
      </c>
      <c r="C440" s="1" t="str">
        <f>("Finding &amp; keeping great employees /")</f>
        <v>Finding &amp; keeping great employees /</v>
      </c>
      <c r="D440" s="1" t="str">
        <f t="shared" si="16"/>
        <v>4F西文書庫 4F Western Language Books</v>
      </c>
      <c r="E440" s="1" t="str">
        <f>("HF5549.5.R44 H313 1999")</f>
        <v>HF5549.5.R44 H313 1999</v>
      </c>
    </row>
    <row r="441" spans="2:9" x14ac:dyDescent="0.25">
      <c r="B441" s="1" t="str">
        <f>("W00002438")</f>
        <v>W00002438</v>
      </c>
      <c r="C441" s="1" t="str">
        <f>("Keeping the people who keep you in business :24 ways to hang on to your most valuable talent /")</f>
        <v>Keeping the people who keep you in business :24 ways to hang on to your most valuable talent /</v>
      </c>
      <c r="D441" s="1" t="str">
        <f t="shared" si="16"/>
        <v>4F西文書庫 4F Western Language Books</v>
      </c>
      <c r="E441" s="1" t="str">
        <f>("HF5549.5.R58 B816 2001")</f>
        <v>HF5549.5.R58 B816 2001</v>
      </c>
    </row>
    <row r="442" spans="2:9" x14ac:dyDescent="0.25">
      <c r="B442" s="1" t="str">
        <f>("W00003136")</f>
        <v>W00003136</v>
      </c>
      <c r="C442" s="1" t="str">
        <f>("Indispensable employees :how to hire them, how to keep them /")</f>
        <v>Indispensable employees :how to hire them, how to keep them /</v>
      </c>
      <c r="D442" s="1" t="str">
        <f t="shared" si="16"/>
        <v>4F西文書庫 4F Western Language Books</v>
      </c>
      <c r="E442" s="1" t="str">
        <f>("HF5549.5.R58 F462 2001")</f>
        <v>HF5549.5.R58 F462 2001</v>
      </c>
    </row>
    <row r="443" spans="2:9" x14ac:dyDescent="0.25">
      <c r="B443" s="1" t="str">
        <f>("W00002408")</f>
        <v>W00002408</v>
      </c>
      <c r="C443" s="1" t="str">
        <f>("Ask the right questions /")</f>
        <v>Ask the right questions /</v>
      </c>
      <c r="D443" s="1" t="str">
        <f t="shared" si="16"/>
        <v>4F西文書庫 4F Western Language Books</v>
      </c>
      <c r="E443" s="1" t="str">
        <f>("HF5549.5.S38 F946 1999")</f>
        <v>HF5549.5.S38 F946 1999</v>
      </c>
    </row>
    <row r="444" spans="2:9" x14ac:dyDescent="0.25">
      <c r="B444" s="1" t="str">
        <f>("W00003050")</f>
        <v>W00003050</v>
      </c>
      <c r="C444" s="1" t="str">
        <f>("Executive selection :strategies for success /")</f>
        <v>Executive selection :strategies for success /</v>
      </c>
      <c r="D444" s="1" t="str">
        <f t="shared" si="16"/>
        <v>4F西文書庫 4F Western Language Books</v>
      </c>
      <c r="E444" s="1" t="str">
        <f>("HF5549.5.S38 S493 2000")</f>
        <v>HF5549.5.S38 S493 2000</v>
      </c>
    </row>
    <row r="445" spans="2:9" x14ac:dyDescent="0.25">
      <c r="B445" s="1" t="str">
        <f>("W00002465")</f>
        <v>W00002465</v>
      </c>
      <c r="C445" s="1" t="str">
        <f>("Effective training :systems, strategies, and practices /")</f>
        <v>Effective training :systems, strategies, and practices /</v>
      </c>
      <c r="D445" s="1" t="str">
        <f t="shared" si="16"/>
        <v>4F西文書庫 4F Western Language Books</v>
      </c>
      <c r="E445" s="1" t="str">
        <f>("HF5549.5.T7 B639 1998")</f>
        <v>HF5549.5.T7 B639 1998</v>
      </c>
    </row>
    <row r="446" spans="2:9" x14ac:dyDescent="0.25">
      <c r="B446" s="1" t="str">
        <f>("W00002064")</f>
        <v>W00002064</v>
      </c>
      <c r="C446" s="1" t="str">
        <f>("The theory and practice of training /")</f>
        <v>The theory and practice of training /</v>
      </c>
      <c r="D446" s="1" t="str">
        <f t="shared" si="16"/>
        <v>4F西文書庫 4F Western Language Books</v>
      </c>
      <c r="E446" s="1" t="str">
        <f>("HF5549.5.T7 B924 2000")</f>
        <v>HF5549.5.T7 B924 2000</v>
      </c>
    </row>
    <row r="447" spans="2:9" x14ac:dyDescent="0.25">
      <c r="B447" s="1" t="str">
        <f>("W00002063")</f>
        <v>W00002063</v>
      </c>
      <c r="C447" s="1" t="str">
        <f>("Effective planning in training and development /")</f>
        <v>Effective planning in training and development /</v>
      </c>
      <c r="D447" s="1" t="str">
        <f t="shared" si="16"/>
        <v>4F西文書庫 4F Western Language Books</v>
      </c>
      <c r="E447" s="1" t="str">
        <f>("HF5549.5.T7 R134 2000")</f>
        <v>HF5549.5.T7 R134 2000</v>
      </c>
    </row>
    <row r="448" spans="2:9" x14ac:dyDescent="0.25">
      <c r="B448" s="1" t="str">
        <f>("W00002246")</f>
        <v>W00002246</v>
      </c>
      <c r="C448" s="1" t="str">
        <f>("Training in the workplace :critical perspectives in learning at work /")</f>
        <v>Training in the workplace :critical perspectives in learning at work /</v>
      </c>
      <c r="D448" s="1" t="str">
        <f t="shared" si="16"/>
        <v>4F西文書庫 4F Western Language Books</v>
      </c>
      <c r="E448" s="1" t="str">
        <f>("HF5549.5.T7 T768 2001")</f>
        <v>HF5549.5.T7 T768 2001</v>
      </c>
    </row>
    <row r="449" spans="2:10" x14ac:dyDescent="0.25">
      <c r="B449" s="1" t="str">
        <f>("W00002267")</f>
        <v>W00002267</v>
      </c>
      <c r="C449" s="1" t="str">
        <f>("E-marketing")</f>
        <v>E-marketing</v>
      </c>
      <c r="D449" s="1" t="str">
        <f t="shared" si="16"/>
        <v>4F西文書庫 4F Western Language Books</v>
      </c>
      <c r="E449" s="1" t="str">
        <f>("HF5584.32 C699 2000")</f>
        <v>HF5584.32 C699 2000</v>
      </c>
    </row>
    <row r="450" spans="2:10" x14ac:dyDescent="0.25">
      <c r="B450" s="1" t="str">
        <f>("W00002234")</f>
        <v>W00002234</v>
      </c>
      <c r="C450" s="1" t="str">
        <f>("Building a profitable online accounting practice /")</f>
        <v>Building a profitable online accounting practice /</v>
      </c>
      <c r="D450" s="1" t="str">
        <f t="shared" si="16"/>
        <v>4F西文書庫 4F Western Language Books</v>
      </c>
      <c r="E450" s="1" t="str">
        <f>("HF5625.7 F791 2001")</f>
        <v>HF5625.7 F791 2001</v>
      </c>
    </row>
    <row r="451" spans="2:10" x14ac:dyDescent="0.25">
      <c r="B451" s="1" t="str">
        <f>("W00002240")</f>
        <v>W00002240</v>
      </c>
      <c r="C451" s="1" t="str">
        <f>("The Audit Process: Principles, Practice and Cases/ ")</f>
        <v xml:space="preserve">The Audit Process: Principles, Practice and Cases/ </v>
      </c>
      <c r="D451" s="1" t="str">
        <f t="shared" si="16"/>
        <v>4F西文書庫 4F Western Language Books</v>
      </c>
      <c r="E451" s="1" t="str">
        <f>("HF5625.7 G778 2000")</f>
        <v>HF5625.7 G778 2000</v>
      </c>
    </row>
    <row r="452" spans="2:10" x14ac:dyDescent="0.25">
      <c r="B452" s="1" t="str">
        <f>("W00002536")</f>
        <v>W00002536</v>
      </c>
      <c r="C452" s="1" t="str">
        <f>("Essentials of accounting / ")</f>
        <v xml:space="preserve">Essentials of accounting / </v>
      </c>
      <c r="D452" s="1" t="str">
        <f t="shared" si="16"/>
        <v>4F西文書庫 4F Western Language Books</v>
      </c>
      <c r="E452" s="1" t="str">
        <f>("HF5635 A628 2000")</f>
        <v>HF5635 A628 2000</v>
      </c>
    </row>
    <row r="453" spans="2:10" x14ac:dyDescent="0.25">
      <c r="B453" s="1" t="str">
        <f>("W00002084")</f>
        <v>W00002084</v>
      </c>
      <c r="C453" s="1" t="str">
        <f>("Accounting for business /")</f>
        <v>Accounting for business /</v>
      </c>
      <c r="D453" s="1" t="str">
        <f t="shared" si="16"/>
        <v>4F西文書庫 4F Western Language Books</v>
      </c>
      <c r="E453" s="1" t="str">
        <f>("HF5635 A882 2001")</f>
        <v>HF5635 A882 2001</v>
      </c>
    </row>
    <row r="454" spans="2:10" x14ac:dyDescent="0.25">
      <c r="B454" s="1" t="str">
        <f>("W00002518")</f>
        <v>W00002518</v>
      </c>
      <c r="C454" s="1" t="str">
        <f>("Financial accounting / ")</f>
        <v xml:space="preserve">Financial accounting / </v>
      </c>
      <c r="D454" s="1" t="str">
        <f>("罕用書庫1-洽櫃台填單 Upon-Request Collection1 fil")</f>
        <v>罕用書庫1-洽櫃台填單 Upon-Request Collection1 fil</v>
      </c>
      <c r="E454" s="1" t="str">
        <f>("HF5635 D537 2000 c.4")</f>
        <v>HF5635 D537 2000 c.4</v>
      </c>
      <c r="G454" s="1" t="str">
        <f>("xxxii, 799 p. ; ")</f>
        <v xml:space="preserve">xxxii, 799 p. ; </v>
      </c>
      <c r="I454" s="1" t="str">
        <f>("26 cm. ")</f>
        <v xml:space="preserve">26 cm. </v>
      </c>
    </row>
    <row r="455" spans="2:10" x14ac:dyDescent="0.25">
      <c r="B455" s="1" t="str">
        <f>("W00002473")</f>
        <v>W00002473</v>
      </c>
      <c r="C455" s="1" t="str">
        <f>("Management accounting :a strategic approach /")</f>
        <v>Management accounting :a strategic approach /</v>
      </c>
      <c r="D455" s="1" t="str">
        <f>("4F西文書庫 4F Western Language Books")</f>
        <v>4F西文書庫 4F Western Language Books</v>
      </c>
      <c r="E455" s="1" t="str">
        <f>("HF5635 M885 2000")</f>
        <v>HF5635 M885 2000</v>
      </c>
    </row>
    <row r="456" spans="2:10" x14ac:dyDescent="0.25">
      <c r="B456" s="1" t="str">
        <f>("W00002540")</f>
        <v>W00002540</v>
      </c>
      <c r="C456" s="1" t="str">
        <f>("Intermediate accounting / ")</f>
        <v xml:space="preserve">Intermediate accounting / </v>
      </c>
      <c r="D456" s="1" t="str">
        <f>("4F西文書庫 4F Western Language Books")</f>
        <v>4F西文書庫 4F Western Language Books</v>
      </c>
      <c r="E456" s="1" t="str">
        <f>("HF5635 N693 2000")</f>
        <v>HF5635 N693 2000</v>
      </c>
    </row>
    <row r="457" spans="2:10" x14ac:dyDescent="0.25">
      <c r="B457" s="1" t="str">
        <f>("W00002531")</f>
        <v>W00002531</v>
      </c>
      <c r="C457" s="1" t="str">
        <f>("Financial accounting in an economic context /")</f>
        <v>Financial accounting in an economic context /</v>
      </c>
      <c r="D457" s="1" t="str">
        <f>("罕用書庫1-洽櫃台填單 Upon-Request Collection1 fil")</f>
        <v>罕用書庫1-洽櫃台填單 Upon-Request Collection1 fil</v>
      </c>
      <c r="E457" s="1" t="str">
        <f>("HF5635 P915 2000 c.2")</f>
        <v>HF5635 P915 2000 c.2</v>
      </c>
      <c r="G457" s="1" t="str">
        <f>("xx, 779 p. :")</f>
        <v>xx, 779 p. :</v>
      </c>
      <c r="H457" s="1" t="str">
        <f>("ill. ;")</f>
        <v>ill. ;</v>
      </c>
      <c r="I457" s="1" t="str">
        <f>("26 cm.")</f>
        <v>26 cm.</v>
      </c>
    </row>
    <row r="458" spans="2:10" x14ac:dyDescent="0.25">
      <c r="B458" s="1" t="str">
        <f>("W00002216")</f>
        <v>W00002216</v>
      </c>
      <c r="C458" s="1" t="str">
        <f>("Accounting and finance for the nonfinancial executive: an integrated resource management guide for the 21st century/ ")</f>
        <v xml:space="preserve">Accounting and finance for the nonfinancial executive: an integrated resource management guide for the 21st century/ </v>
      </c>
      <c r="D458" s="1" t="str">
        <f>("4F西文書庫 4F Western Language Books")</f>
        <v>4F西文書庫 4F Western Language Books</v>
      </c>
      <c r="E458" s="1" t="str">
        <f>("HF5635 S555 2000")</f>
        <v>HF5635 S555 2000</v>
      </c>
    </row>
    <row r="459" spans="2:10" x14ac:dyDescent="0.25">
      <c r="B459" s="1" t="str">
        <f>("W00003051")</f>
        <v>W00003051</v>
      </c>
      <c r="C459" s="1" t="str">
        <f>("Business accounting 1 /")</f>
        <v>Business accounting 1 /</v>
      </c>
      <c r="D459" s="1" t="str">
        <f>("4F西文書庫 4F Western Language Books")</f>
        <v>4F西文書庫 4F Western Language Books</v>
      </c>
      <c r="E459" s="1" t="str">
        <f>("HF5635 W875 1999")</f>
        <v>HF5635 W875 1999</v>
      </c>
    </row>
    <row r="460" spans="2:10" x14ac:dyDescent="0.25">
      <c r="B460" s="1" t="str">
        <f>("W00002341")</f>
        <v>W00002341</v>
      </c>
      <c r="C460" s="1" t="str">
        <f>("Managing explosive corporate growth /")</f>
        <v>Managing explosive corporate growth /</v>
      </c>
      <c r="D460" s="1" t="str">
        <f>("4F西文書庫 4F Western Language Books")</f>
        <v>4F西文書庫 4F Western Language Books</v>
      </c>
      <c r="E460" s="1" t="str">
        <f>("HF5657.4 B813 1999")</f>
        <v>HF5657.4 B813 1999</v>
      </c>
    </row>
    <row r="461" spans="2:10" x14ac:dyDescent="0.25">
      <c r="B461" s="1" t="str">
        <f>("W00002356")</f>
        <v>W00002356</v>
      </c>
      <c r="C461" s="1" t="str">
        <f>("Management and cost accounting /")</f>
        <v>Management and cost accounting /</v>
      </c>
      <c r="D461" s="1" t="str">
        <f>("4F西文書庫 4F Western Language Books")</f>
        <v>4F西文書庫 4F Western Language Books</v>
      </c>
      <c r="E461" s="1" t="str">
        <f>("HF5657.4 D796 2000")</f>
        <v>HF5657.4 D796 2000</v>
      </c>
    </row>
    <row r="462" spans="2:10" x14ac:dyDescent="0.25">
      <c r="B462" s="1" t="str">
        <f>("W00002558")</f>
        <v>W00002558</v>
      </c>
      <c r="C462" s="1" t="str">
        <f>("Accounting information systems / ")</f>
        <v xml:space="preserve">Accounting information systems / </v>
      </c>
      <c r="D462" s="1" t="str">
        <f>("罕用書庫1-洽櫃台填單 Upon-Request Collection1 fil")</f>
        <v>罕用書庫1-洽櫃台填單 Upon-Request Collection1 fil</v>
      </c>
      <c r="E462" s="1" t="str">
        <f>("HF5679 R756-2 P927 1999 c.3")</f>
        <v>HF5679 R756-2 P927 1999 c.3</v>
      </c>
      <c r="G462" s="1" t="str">
        <f>("xxx, 796 p. :")</f>
        <v>xxx, 796 p. :</v>
      </c>
      <c r="H462" s="1" t="str">
        <f>("ill. ;")</f>
        <v>ill. ;</v>
      </c>
      <c r="I462" s="1" t="str">
        <f>("24 cm.")</f>
        <v>24 cm.</v>
      </c>
    </row>
    <row r="463" spans="2:10" x14ac:dyDescent="0.25">
      <c r="B463" s="1" t="str">
        <f>("W00002577")</f>
        <v>W00002577</v>
      </c>
      <c r="C463" s="1" t="str">
        <f>("Fundamentals of financial management /")</f>
        <v>Fundamentals of financial management /</v>
      </c>
      <c r="D463" s="1" t="str">
        <f t="shared" ref="D463:D480" si="17">("4F西文書庫 4F Western Language Books")</f>
        <v>4F西文書庫 4F Western Language Books</v>
      </c>
      <c r="E463" s="1" t="str">
        <f>("HF568.1 B855 1998")</f>
        <v>HF568.1 B855 1998</v>
      </c>
      <c r="G463" s="1" t="str">
        <f>("xxvii, 898 p. :")</f>
        <v>xxvii, 898 p. :</v>
      </c>
      <c r="H463" s="1" t="str">
        <f>("ill. (some col.) ;")</f>
        <v>ill. (some col.) ;</v>
      </c>
      <c r="I463" s="1" t="str">
        <f>("27 cm. +")</f>
        <v>27 cm. +</v>
      </c>
      <c r="J463" s="1" t="str">
        <f>("1 computer optical disc (4 3/4 in.)")</f>
        <v>1 computer optical disc (4 3/4 in.)</v>
      </c>
    </row>
    <row r="464" spans="2:10" x14ac:dyDescent="0.25">
      <c r="B464" s="1" t="str">
        <f>("W00002181")</f>
        <v>W00002181</v>
      </c>
      <c r="C464" s="1" t="str">
        <f>("the art of .com bat ancient wisdom for the competitive econompy/ ")</f>
        <v xml:space="preserve">the art of .com bat ancient wisdom for the competitive econompy/ </v>
      </c>
      <c r="D464" s="1" t="str">
        <f t="shared" si="17"/>
        <v>4F西文書庫 4F Western Language Books</v>
      </c>
      <c r="E464" s="1" t="str">
        <f>("HF568.1 M113 2001")</f>
        <v>HF568.1 M113 2001</v>
      </c>
    </row>
    <row r="465" spans="2:9" x14ac:dyDescent="0.25">
      <c r="B465" s="1" t="str">
        <f>("W00002959")</f>
        <v>W00002959</v>
      </c>
      <c r="C465" s="1" t="str">
        <f>("Business Games")</f>
        <v>Business Games</v>
      </c>
      <c r="D465" s="1" t="str">
        <f t="shared" si="17"/>
        <v>4F西文書庫 4F Western Language Books</v>
      </c>
      <c r="E465" s="1" t="str">
        <f>("HF568.1 M462 1992")</f>
        <v>HF568.1 M462 1992</v>
      </c>
    </row>
    <row r="466" spans="2:9" x14ac:dyDescent="0.25">
      <c r="B466" s="1" t="str">
        <f>("W00002582")</f>
        <v>W00002582</v>
      </c>
      <c r="C466" s="1" t="str">
        <f>("The growing business handbbok: Strategies for planning,funding and managing business growth/ ")</f>
        <v xml:space="preserve">The growing business handbbok: Strategies for planning,funding and managing business growth/ </v>
      </c>
      <c r="D466" s="1" t="str">
        <f t="shared" si="17"/>
        <v>4F西文書庫 4F Western Language Books</v>
      </c>
      <c r="E466" s="1" t="str">
        <f>("HF568.1 W741 2000")</f>
        <v>HF568.1 W741 2000</v>
      </c>
    </row>
    <row r="467" spans="2:9" x14ac:dyDescent="0.25">
      <c r="B467" s="1" t="str">
        <f>("W00002559")</f>
        <v>W00002559</v>
      </c>
      <c r="C467" s="1" t="str">
        <f>("Business analysis &amp; valuation : using financial statements : text &amp; cases / ")</f>
        <v xml:space="preserve">Business analysis &amp; valuation : using financial statements : text &amp; cases / </v>
      </c>
      <c r="D467" s="1" t="str">
        <f t="shared" si="17"/>
        <v>4F西文書庫 4F Western Language Books</v>
      </c>
      <c r="E467" s="1" t="str">
        <f>("HF5681 P156 2000")</f>
        <v>HF5681 P156 2000</v>
      </c>
      <c r="G467" s="1" t="str">
        <f>("1 v. (various pagings) ; ")</f>
        <v xml:space="preserve">1 v. (various pagings) ; </v>
      </c>
      <c r="I467" s="1" t="str">
        <f>("24 cm. ")</f>
        <v xml:space="preserve">24 cm. </v>
      </c>
    </row>
    <row r="468" spans="2:9" x14ac:dyDescent="0.25">
      <c r="B468" s="1" t="str">
        <f>("W00002400")</f>
        <v>W00002400</v>
      </c>
      <c r="C468" s="1" t="str">
        <f>("Financial statements :a step-by-step guide to understanding and creating financial reports /")</f>
        <v>Financial statements :a step-by-step guide to understanding and creating financial reports /</v>
      </c>
      <c r="D468" s="1" t="str">
        <f t="shared" si="17"/>
        <v>4F西文書庫 4F Western Language Books</v>
      </c>
      <c r="E468" s="1" t="str">
        <f>("HF5681.B2 I91 1998")</f>
        <v>HF5681.B2 I91 1998</v>
      </c>
    </row>
    <row r="469" spans="2:9" x14ac:dyDescent="0.25">
      <c r="B469" s="1" t="str">
        <f>("W00002268")</f>
        <v>W00002268</v>
      </c>
      <c r="C469" s="1" t="str">
        <f>("Prospective financial statements analysis /")</f>
        <v>Prospective financial statements analysis /</v>
      </c>
      <c r="D469" s="1" t="str">
        <f t="shared" si="17"/>
        <v>4F西文書庫 4F Western Language Books</v>
      </c>
      <c r="E469" s="1" t="str">
        <f>("HF5681.B2 K83 1996")</f>
        <v>HF5681.B2 K83 1996</v>
      </c>
      <c r="F469" s="1" t="str">
        <f>("磁碟片1片")</f>
        <v>磁碟片1片</v>
      </c>
      <c r="G469" s="1" t="str">
        <f>("xx, 279 p. ;")</f>
        <v>xx, 279 p. ;</v>
      </c>
      <c r="I469" s="1" t="str">
        <f>("25 cm. + 1 computer disk (3 1/2in.) ")</f>
        <v xml:space="preserve">25 cm. + 1 computer disk (3 1/2in.) </v>
      </c>
    </row>
    <row r="470" spans="2:9" x14ac:dyDescent="0.25">
      <c r="B470" s="1" t="str">
        <f>("W00003100")</f>
        <v>W00003100</v>
      </c>
      <c r="C470" s="1" t="str">
        <f>("Accounts demystified :how to understand and use company accounts /")</f>
        <v>Accounts demystified :how to understand and use company accounts /</v>
      </c>
      <c r="D470" s="1" t="str">
        <f t="shared" si="17"/>
        <v>4F西文書庫 4F Western Language Books</v>
      </c>
      <c r="E470" s="1" t="str">
        <f>("HF5686.C7 R495 2000")</f>
        <v>HF5686.C7 R495 2000</v>
      </c>
    </row>
    <row r="471" spans="2:9" x14ac:dyDescent="0.25">
      <c r="B471" s="1" t="str">
        <f>("W00002520")</f>
        <v>W00002520</v>
      </c>
      <c r="C471" s="1" t="str">
        <f>("Cost management :accounting and control /")</f>
        <v>Cost management :accounting and control /</v>
      </c>
      <c r="D471" s="1" t="str">
        <f t="shared" si="17"/>
        <v>4F西文書庫 4F Western Language Books</v>
      </c>
      <c r="E471" s="1" t="str">
        <f>("HF5686.C8 H249 2000")</f>
        <v>HF5686.C8 H249 2000</v>
      </c>
      <c r="G471" s="1" t="str">
        <f>("xxiii, 952 p. :")</f>
        <v>xxiii, 952 p. :</v>
      </c>
      <c r="H471" s="1" t="str">
        <f>("col. ill. ;")</f>
        <v>col. ill. ;</v>
      </c>
      <c r="I471" s="1" t="str">
        <f>("29 cm.")</f>
        <v>29 cm.</v>
      </c>
    </row>
    <row r="472" spans="2:9" x14ac:dyDescent="0.25">
      <c r="B472" s="1" t="str">
        <f>("W00002495")</f>
        <v>W00002495</v>
      </c>
      <c r="C472" s="1" t="str">
        <f>("Mathematics for management and finance /")</f>
        <v>Mathematics for management and finance /</v>
      </c>
      <c r="D472" s="1" t="str">
        <f t="shared" si="17"/>
        <v>4F西文書庫 4F Western Language Books</v>
      </c>
      <c r="E472" s="1" t="str">
        <f>("HF5691 S524 1998")</f>
        <v>HF5691 S524 1998</v>
      </c>
    </row>
    <row r="473" spans="2:9" x14ac:dyDescent="0.25">
      <c r="B473" s="1" t="str">
        <f>("W00002359")</f>
        <v>W00002359</v>
      </c>
      <c r="C473" s="1" t="str">
        <f>("Harvard business review on effective communication. ")</f>
        <v xml:space="preserve">Harvard business review on effective communication. </v>
      </c>
      <c r="D473" s="1" t="str">
        <f t="shared" si="17"/>
        <v>4F西文書庫 4F Western Language Books</v>
      </c>
      <c r="E473" s="1" t="str">
        <f>("HF5718 H341 1999")</f>
        <v>HF5718 H341 1999</v>
      </c>
    </row>
    <row r="474" spans="2:9" x14ac:dyDescent="0.25">
      <c r="B474" s="1" t="str">
        <f>("W00002346")</f>
        <v>W00002346</v>
      </c>
      <c r="C474" s="1" t="str">
        <f>("The seven deadly skills of communicating / ")</f>
        <v xml:space="preserve">The seven deadly skills of communicating / </v>
      </c>
      <c r="D474" s="1" t="str">
        <f t="shared" si="17"/>
        <v>4F西文書庫 4F Western Language Books</v>
      </c>
      <c r="E474" s="1" t="str">
        <f>("HF5718 J42 1999")</f>
        <v>HF5718 J42 1999</v>
      </c>
    </row>
    <row r="475" spans="2:9" x14ac:dyDescent="0.25">
      <c r="B475" s="1" t="str">
        <f>("W00003090")</f>
        <v>W00003090</v>
      </c>
      <c r="C475" s="1" t="str">
        <f>("Powerful communication skills :how to communicate with confidence /")</f>
        <v>Powerful communication skills :how to communicate with confidence /</v>
      </c>
      <c r="D475" s="1" t="str">
        <f t="shared" si="17"/>
        <v>4F西文書庫 4F Western Language Books</v>
      </c>
      <c r="E475" s="1" t="str">
        <f>("HF5718 M155 1998")</f>
        <v>HF5718 M155 1998</v>
      </c>
    </row>
    <row r="476" spans="2:9" x14ac:dyDescent="0.25">
      <c r="B476" s="1" t="str">
        <f>("W00003092")</f>
        <v>W00003092</v>
      </c>
      <c r="C476" s="1" t="str">
        <f>("Secrets of power presentations :overcome your fear of public speaking, build rapport and credibility with your audience, prepare and deliver a dynamic presentation /")</f>
        <v>Secrets of power presentations :overcome your fear of public speaking, build rapport and credibility with your audience, prepare and deliver a dynamic presentation /</v>
      </c>
      <c r="D476" s="1" t="str">
        <f t="shared" si="17"/>
        <v>4F西文書庫 4F Western Language Books</v>
      </c>
      <c r="E476" s="1" t="str">
        <f>("HF5718.22 H739 2000")</f>
        <v>HF5718.22 H739 2000</v>
      </c>
    </row>
    <row r="477" spans="2:9" x14ac:dyDescent="0.25">
      <c r="B477" s="1" t="str">
        <f>("W00003103")</f>
        <v>W00003103</v>
      </c>
      <c r="C477" s="1" t="str">
        <f>("Effective presentation :powerful ways to make your presentations more effective /")</f>
        <v>Effective presentation :powerful ways to make your presentations more effective /</v>
      </c>
      <c r="D477" s="1" t="str">
        <f t="shared" si="17"/>
        <v>4F西文書庫 4F Western Language Books</v>
      </c>
      <c r="E477" s="1" t="str">
        <f>("HF5718.22 J42 2000")</f>
        <v>HF5718.22 J42 2000</v>
      </c>
    </row>
    <row r="478" spans="2:9" x14ac:dyDescent="0.25">
      <c r="B478" s="1" t="str">
        <f>("W00002584")</f>
        <v>W00002584</v>
      </c>
      <c r="C478" s="1" t="str">
        <f>("Business communication :process and product /")</f>
        <v>Business communication :process and product /</v>
      </c>
      <c r="D478" s="1" t="str">
        <f t="shared" si="17"/>
        <v>4F西文書庫 4F Western Language Books</v>
      </c>
      <c r="E478" s="1" t="str">
        <f>("HF5718.3 G941 2000")</f>
        <v>HF5718.3 G941 2000</v>
      </c>
      <c r="G478" s="1" t="str">
        <f>("1 v. (various pagings) :")</f>
        <v>1 v. (various pagings) :</v>
      </c>
      <c r="H478" s="1" t="str">
        <f>("col. ill. ;")</f>
        <v>col. ill. ;</v>
      </c>
      <c r="I478" s="1" t="str">
        <f>("27 cm ")</f>
        <v xml:space="preserve">27 cm </v>
      </c>
    </row>
    <row r="479" spans="2:9" x14ac:dyDescent="0.25">
      <c r="B479" s="1" t="str">
        <f>("W00002955")</f>
        <v>W00002955</v>
      </c>
      <c r="C479" s="1" t="str">
        <f>("Effective business writing : principles and applications / ")</f>
        <v xml:space="preserve">Effective business writing : principles and applications / </v>
      </c>
      <c r="D479" s="1" t="str">
        <f t="shared" si="17"/>
        <v>4F西文書庫 4F Western Language Books</v>
      </c>
      <c r="E479" s="1" t="str">
        <f>("HF5718.3 M891 1996")</f>
        <v>HF5718.3 M891 1996</v>
      </c>
    </row>
    <row r="480" spans="2:9" x14ac:dyDescent="0.25">
      <c r="B480" s="1" t="str">
        <f>("W00003170")</f>
        <v>W00003170</v>
      </c>
      <c r="C480" s="1" t="str">
        <f>("Rules of thumb for business writers /")</f>
        <v>Rules of thumb for business writers /</v>
      </c>
      <c r="D480" s="1" t="str">
        <f t="shared" si="17"/>
        <v>4F西文書庫 4F Western Language Books</v>
      </c>
      <c r="E480" s="1" t="str">
        <f>("HF5718.3 W647 2000")</f>
        <v>HF5718.3 W647 2000</v>
      </c>
    </row>
    <row r="481" spans="2:9" x14ac:dyDescent="0.25">
      <c r="B481" s="1" t="str">
        <f>("W00003056")</f>
        <v>W00003056</v>
      </c>
      <c r="C481" s="1" t="str">
        <f>("How to write proposals and reports that get results /")</f>
        <v>How to write proposals and reports that get results /</v>
      </c>
      <c r="D481" s="1" t="str">
        <f>("罕用書庫1-洽櫃台填單 Upon-Request Collection1 fil")</f>
        <v>罕用書庫1-洽櫃台填單 Upon-Request Collection1 fil</v>
      </c>
      <c r="E481" s="1" t="str">
        <f>("HF5718.5 J42 2000 c.3")</f>
        <v>HF5718.5 J42 2000 c.3</v>
      </c>
      <c r="G481" s="1" t="str">
        <f>("vi, 157 p. :")</f>
        <v>vi, 157 p. :</v>
      </c>
      <c r="H481" s="1" t="str">
        <f>("ill. ;")</f>
        <v>ill. ;</v>
      </c>
      <c r="I481" s="1" t="str">
        <f>("21 cm.")</f>
        <v>21 cm.</v>
      </c>
    </row>
    <row r="482" spans="2:9" x14ac:dyDescent="0.25">
      <c r="B482" s="1" t="str">
        <f>("W00002834")</f>
        <v>W00002834</v>
      </c>
      <c r="C482" s="1" t="str">
        <f>("Crystal reports 8 for dummies / ")</f>
        <v xml:space="preserve">Crystal reports 8 for dummies / </v>
      </c>
      <c r="D482" s="1" t="str">
        <f t="shared" ref="D482:D522" si="18">("4F西文書庫 4F Western Language Books")</f>
        <v>4F西文書庫 4F Western Language Books</v>
      </c>
      <c r="E482" s="1" t="str">
        <f>("HF5719 W853 2000")</f>
        <v>HF5719 W853 2000</v>
      </c>
    </row>
    <row r="483" spans="2:9" x14ac:dyDescent="0.25">
      <c r="B483" s="1" t="str">
        <f>("W00003093")</f>
        <v>W00003093</v>
      </c>
      <c r="C483" s="1" t="str">
        <f>("The encyclopedia of business letters, fax memos, and e-mail /")</f>
        <v>The encyclopedia of business letters, fax memos, and e-mail /</v>
      </c>
      <c r="D483" s="1" t="str">
        <f t="shared" si="18"/>
        <v>4F西文書庫 4F Western Language Books</v>
      </c>
      <c r="E483" s="1" t="str">
        <f>("HF5721 B661 1999")</f>
        <v>HF5721 B661 1999</v>
      </c>
    </row>
    <row r="484" spans="2:9" x14ac:dyDescent="0.25">
      <c r="B484" s="1" t="str">
        <f>("W00002365")</f>
        <v>W00002365</v>
      </c>
      <c r="C484" s="1" t="str">
        <f>("Last minute meetings / ")</f>
        <v xml:space="preserve">Last minute meetings / </v>
      </c>
      <c r="D484" s="1" t="str">
        <f t="shared" si="18"/>
        <v>4F西文書庫 4F Western Language Books</v>
      </c>
      <c r="E484" s="1" t="str">
        <f>("HF5734 D551 2001")</f>
        <v>HF5734 D551 2001</v>
      </c>
    </row>
    <row r="485" spans="2:9" x14ac:dyDescent="0.25">
      <c r="B485" s="1" t="str">
        <f>("W00003111")</f>
        <v>W00003111</v>
      </c>
      <c r="C485" s="1" t="str">
        <f>("Manipulating meetings :how to get what you want, when you want it /")</f>
        <v>Manipulating meetings :how to get what you want, when you want it /</v>
      </c>
      <c r="D485" s="1" t="str">
        <f t="shared" si="18"/>
        <v>4F西文書庫 4F Western Language Books</v>
      </c>
      <c r="E485" s="1" t="str">
        <f>("HF5734.5 M379 2000")</f>
        <v>HF5734.5 M379 2000</v>
      </c>
    </row>
    <row r="486" spans="2:9" x14ac:dyDescent="0.25">
      <c r="B486" s="1" t="str">
        <f>("W00002992")</f>
        <v>W00002992</v>
      </c>
      <c r="C486" s="1" t="str">
        <f>("Automated Forms Processing : A Primer/ ")</f>
        <v xml:space="preserve">Automated Forms Processing : A Primer/ </v>
      </c>
      <c r="D486" s="1" t="str">
        <f t="shared" si="18"/>
        <v>4F西文書庫 4F Western Language Books</v>
      </c>
      <c r="E486" s="1" t="str">
        <f>("HF5737 S745 1996")</f>
        <v>HF5737 S745 1996</v>
      </c>
    </row>
    <row r="487" spans="2:9" x14ac:dyDescent="0.25">
      <c r="B487" s="1" t="str">
        <f>("W00002308")</f>
        <v>W00002308</v>
      </c>
      <c r="C487" s="1" t="str">
        <f>("Creativity:in education and learning /")</f>
        <v>Creativity:in education and learning /</v>
      </c>
      <c r="D487" s="1" t="str">
        <f t="shared" si="18"/>
        <v>4F西文書庫 4F Western Language Books</v>
      </c>
      <c r="E487" s="1" t="str">
        <f>("HF5823 C937 2001")</f>
        <v>HF5823 C937 2001</v>
      </c>
    </row>
    <row r="488" spans="2:9" x14ac:dyDescent="0.25">
      <c r="B488" s="1" t="str">
        <f>("W00003199")</f>
        <v>W00003199</v>
      </c>
      <c r="C488" s="1" t="str">
        <f>("The new positioning :the latest on the world's #1 business strategy /")</f>
        <v>The new positioning :the latest on the world's #1 business strategy /</v>
      </c>
      <c r="D488" s="1" t="str">
        <f t="shared" si="18"/>
        <v>4F西文書庫 4F Western Language Books</v>
      </c>
      <c r="E488" s="1" t="str">
        <f>("HF5827.2 T861 1996")</f>
        <v>HF5827.2 T861 1996</v>
      </c>
    </row>
    <row r="489" spans="2:9" x14ac:dyDescent="0.25">
      <c r="B489" s="1" t="str">
        <f>("W00002570")</f>
        <v>W00002570</v>
      </c>
      <c r="C489" s="1" t="str">
        <f>("Building the unnovative organization: management systems that encourage innovation/ ")</f>
        <v xml:space="preserve">Building the unnovative organization: management systems that encourage innovation/ </v>
      </c>
      <c r="D489" s="1" t="str">
        <f t="shared" si="18"/>
        <v>4F西文書庫 4F Western Language Books</v>
      </c>
      <c r="E489" s="1" t="str">
        <f>("HG1415.5 C555 2000")</f>
        <v>HG1415.5 C555 2000</v>
      </c>
    </row>
    <row r="490" spans="2:9" x14ac:dyDescent="0.25">
      <c r="B490" s="1" t="str">
        <f>("W00002982")</f>
        <v>W00002982</v>
      </c>
      <c r="C490" s="1" t="str">
        <f>("Call center handbookthe complete guide to starting, running and improving your call center /")</f>
        <v>Call center handbookthe complete guide to starting, running and improving your call center /</v>
      </c>
      <c r="D490" s="1" t="str">
        <f t="shared" si="18"/>
        <v>4F西文書庫 4F Western Language Books</v>
      </c>
      <c r="E490" s="1" t="str">
        <f>("HG1616.C29 D272 1999")</f>
        <v>HG1616.C29 D272 1999</v>
      </c>
    </row>
    <row r="491" spans="2:9" x14ac:dyDescent="0.25">
      <c r="B491" s="1" t="str">
        <f>("W00002094")</f>
        <v>W00002094</v>
      </c>
      <c r="C491" s="1" t="str">
        <f>("Growing aprivate company: commercial strategies for building a business worth millions/")</f>
        <v>Growing aprivate company: commercial strategies for building a business worth millions/</v>
      </c>
      <c r="D491" s="1" t="str">
        <f t="shared" si="18"/>
        <v>4F西文書庫 4F Western Language Books</v>
      </c>
      <c r="E491" s="1" t="str">
        <f>("HG1642 G873 2001")</f>
        <v>HG1642 G873 2001</v>
      </c>
    </row>
    <row r="492" spans="2:9" x14ac:dyDescent="0.25">
      <c r="B492" s="1" t="str">
        <f>("W00003053")</f>
        <v>W00003053</v>
      </c>
      <c r="C492" s="1" t="str">
        <f>("Global positioning for financial services /")</f>
        <v>Global positioning for financial services /</v>
      </c>
      <c r="D492" s="1" t="str">
        <f t="shared" si="18"/>
        <v>4F西文書庫 4F Western Language Books</v>
      </c>
      <c r="E492" s="1" t="str">
        <f>("HG173 J67 2000")</f>
        <v>HG173 J67 2000</v>
      </c>
    </row>
    <row r="493" spans="2:9" x14ac:dyDescent="0.25">
      <c r="B493" s="1" t="str">
        <f>("W00002488")</f>
        <v>W00002488</v>
      </c>
      <c r="C493" s="1" t="str">
        <f>("Finance :introduction to institutions, investments and management /")</f>
        <v>Finance :introduction to institutions, investments and management /</v>
      </c>
      <c r="D493" s="1" t="str">
        <f t="shared" si="18"/>
        <v>4F西文書庫 4F Western Language Books</v>
      </c>
      <c r="E493" s="1" t="str">
        <f>("HG173 M522 2000")</f>
        <v>HG173 M522 2000</v>
      </c>
      <c r="G493" s="1" t="str">
        <f>("xxii, 677 p. :")</f>
        <v>xxii, 677 p. :</v>
      </c>
      <c r="H493" s="1" t="str">
        <f>("ill. ;")</f>
        <v>ill. ;</v>
      </c>
      <c r="I493" s="1" t="str">
        <f>("24 cm ")</f>
        <v xml:space="preserve">24 cm </v>
      </c>
    </row>
    <row r="494" spans="2:9" x14ac:dyDescent="0.25">
      <c r="B494" s="1" t="str">
        <f>("W00002101")</f>
        <v>W00002101</v>
      </c>
      <c r="C494" s="1" t="str">
        <f>("A vision for the future : in conversation with financial strategists / ")</f>
        <v xml:space="preserve">A vision for the future : in conversation with financial strategists / </v>
      </c>
      <c r="D494" s="1" t="str">
        <f t="shared" si="18"/>
        <v>4F西文書庫 4F Western Language Books</v>
      </c>
      <c r="E494" s="1" t="str">
        <f>("HG173 V831 2001")</f>
        <v>HG173 V831 2001</v>
      </c>
    </row>
    <row r="495" spans="2:9" x14ac:dyDescent="0.25">
      <c r="B495" s="1" t="str">
        <f>("W00002384")</f>
        <v>W00002384</v>
      </c>
      <c r="C495" s="1" t="str">
        <f>("Paul Wilmott introduces quantitative finance. ")</f>
        <v xml:space="preserve">Paul Wilmott introduces quantitative finance. </v>
      </c>
      <c r="D495" s="1" t="str">
        <f t="shared" si="18"/>
        <v>4F西文書庫 4F Western Language Books</v>
      </c>
      <c r="E495" s="1" t="str">
        <f>("HG173 W177 2001")</f>
        <v>HG173 W177 2001</v>
      </c>
    </row>
    <row r="496" spans="2:9" x14ac:dyDescent="0.25">
      <c r="B496" s="1" t="str">
        <f>("W00003207")</f>
        <v>W00003207</v>
      </c>
      <c r="C496" s="1" t="str">
        <f>("Finance &amp; accounting for non-financial executives /")</f>
        <v>Finance &amp; accounting for non-financial executives /</v>
      </c>
      <c r="D496" s="1" t="str">
        <f t="shared" si="18"/>
        <v>4F西文書庫 4F Western Language Books</v>
      </c>
      <c r="E496" s="1" t="str">
        <f>("HG173 W363 2001")</f>
        <v>HG173 W363 2001</v>
      </c>
    </row>
    <row r="497" spans="2:9" x14ac:dyDescent="0.25">
      <c r="B497" s="1" t="str">
        <f>("W00002957")</f>
        <v>W00002957</v>
      </c>
      <c r="C497" s="1" t="str">
        <f>("Financial innovation / ")</f>
        <v xml:space="preserve">Financial innovation / </v>
      </c>
      <c r="D497" s="1" t="str">
        <f t="shared" si="18"/>
        <v>4F西文書庫 4F Western Language Books</v>
      </c>
      <c r="E497" s="1" t="str">
        <f>("HG176.7 M731 1999")</f>
        <v>HG176.7 M731 1999</v>
      </c>
      <c r="G497" s="1" t="str">
        <f>("301p. ;")</f>
        <v>301p. ;</v>
      </c>
      <c r="I497" s="1" t="str">
        <f>("23cm. ")</f>
        <v xml:space="preserve">23cm. </v>
      </c>
    </row>
    <row r="498" spans="2:9" x14ac:dyDescent="0.25">
      <c r="B498" s="1" t="str">
        <f>("W00002099")</f>
        <v>W00002099</v>
      </c>
      <c r="C498" s="1" t="str">
        <f>("Expert financial planning : investment strategies from industry leaders / ")</f>
        <v xml:space="preserve">Expert financial planning : investment strategies from industry leaders / </v>
      </c>
      <c r="D498" s="1" t="str">
        <f t="shared" si="18"/>
        <v>4F西文書庫 4F Western Language Books</v>
      </c>
      <c r="E498" s="1" t="str">
        <f>("HG179 A685 2001")</f>
        <v>HG179 A685 2001</v>
      </c>
    </row>
    <row r="499" spans="2:9" x14ac:dyDescent="0.25">
      <c r="B499" s="1" t="str">
        <f>("W00003194")</f>
        <v>W00003194</v>
      </c>
      <c r="C499" s="1" t="str">
        <f>("Our money, ourselves :redesigning your relationship with money : a self-help guide /")</f>
        <v>Our money, ourselves :redesigning your relationship with money : a self-help guide /</v>
      </c>
      <c r="D499" s="1" t="str">
        <f t="shared" si="18"/>
        <v>4F西文書庫 4F Western Language Books</v>
      </c>
      <c r="E499" s="1" t="str">
        <f>("HG179 E11 1999")</f>
        <v>HG179 E11 1999</v>
      </c>
    </row>
    <row r="500" spans="2:9" x14ac:dyDescent="0.25">
      <c r="B500" s="1" t="str">
        <f>("W00002337")</f>
        <v>W00002337</v>
      </c>
      <c r="C500" s="1" t="str">
        <f>("Ernst &amp; Young's financial planning for women. ")</f>
        <v xml:space="preserve">Ernst &amp; Young's financial planning for women. </v>
      </c>
      <c r="D500" s="1" t="str">
        <f t="shared" si="18"/>
        <v>4F西文書庫 4F Western Language Books</v>
      </c>
      <c r="E500" s="1" t="str">
        <f>("HG179 E65 1999")</f>
        <v>HG179 E65 1999</v>
      </c>
      <c r="G500" s="1" t="str">
        <f>("x, 241 p. :")</f>
        <v>x, 241 p. :</v>
      </c>
      <c r="H500" s="1" t="str">
        <f>("ill. ;")</f>
        <v>ill. ;</v>
      </c>
      <c r="I500" s="1" t="str">
        <f>("24 cm. ")</f>
        <v xml:space="preserve">24 cm. </v>
      </c>
    </row>
    <row r="501" spans="2:9" x14ac:dyDescent="0.25">
      <c r="B501" s="1" t="str">
        <f>("W00003114")</f>
        <v>W00003114</v>
      </c>
      <c r="C501" s="1" t="str">
        <f>("Personal financial planner /")</f>
        <v>Personal financial planner /</v>
      </c>
      <c r="D501" s="1" t="str">
        <f t="shared" si="18"/>
        <v>4F西文書庫 4F Western Language Books</v>
      </c>
      <c r="E501" s="1" t="str">
        <f>("HG179 H318 1999")</f>
        <v>HG179 H318 1999</v>
      </c>
    </row>
    <row r="502" spans="2:9" x14ac:dyDescent="0.25">
      <c r="B502" s="1" t="str">
        <f>("W00002102")</f>
        <v>W00002102</v>
      </c>
      <c r="C502" s="1" t="str">
        <f>("Set for life : a retirement planning guide for people over 50 / ")</f>
        <v xml:space="preserve">Set for life : a retirement planning guide for people over 50 / </v>
      </c>
      <c r="D502" s="1" t="str">
        <f t="shared" si="18"/>
        <v>4F西文書庫 4F Western Language Books</v>
      </c>
      <c r="E502" s="1" t="str">
        <f>("HG179 H762 2000")</f>
        <v>HG179 H762 2000</v>
      </c>
      <c r="G502" s="1" t="str">
        <f>("xv, 240 p. ; ")</f>
        <v xml:space="preserve">xv, 240 p. ; </v>
      </c>
      <c r="I502" s="1" t="str">
        <f>("24 cm. ")</f>
        <v xml:space="preserve">24 cm. </v>
      </c>
    </row>
    <row r="503" spans="2:9" x14ac:dyDescent="0.25">
      <c r="B503" s="1" t="str">
        <f>("W00002483")</f>
        <v>W00002483</v>
      </c>
      <c r="C503" s="1" t="str">
        <f>("Personal financial planning /")</f>
        <v>Personal financial planning /</v>
      </c>
      <c r="D503" s="1" t="str">
        <f t="shared" si="18"/>
        <v>4F西文書庫 4F Western Language Books</v>
      </c>
      <c r="E503" s="1" t="str">
        <f>("HG179 R381 1998")</f>
        <v>HG179 R381 1998</v>
      </c>
    </row>
    <row r="504" spans="2:9" x14ac:dyDescent="0.25">
      <c r="B504" s="1" t="str">
        <f>("W00002370")</f>
        <v>W00002370</v>
      </c>
      <c r="C504" s="1" t="str">
        <f>("Last minute retirement planning / ")</f>
        <v xml:space="preserve">Last minute retirement planning / </v>
      </c>
      <c r="D504" s="1" t="str">
        <f t="shared" si="18"/>
        <v>4F西文書庫 4F Western Language Books</v>
      </c>
      <c r="E504" s="1" t="str">
        <f>("HG179 R813 1999")</f>
        <v>HG179 R813 1999</v>
      </c>
    </row>
    <row r="505" spans="2:9" x14ac:dyDescent="0.25">
      <c r="B505" s="1" t="str">
        <f>("W00003070")</f>
        <v>W00003070</v>
      </c>
      <c r="C505" s="1" t="str">
        <f>("The Savage truth on money /")</f>
        <v>The Savage truth on money /</v>
      </c>
      <c r="D505" s="1" t="str">
        <f t="shared" si="18"/>
        <v>4F西文書庫 4F Western Language Books</v>
      </c>
      <c r="E505" s="1" t="str">
        <f>("HG179 S264 1999")</f>
        <v>HG179 S264 1999</v>
      </c>
    </row>
    <row r="506" spans="2:9" x14ac:dyDescent="0.25">
      <c r="B506" s="1" t="str">
        <f>("W00002398")</f>
        <v>W00002398</v>
      </c>
      <c r="C506" s="1" t="str">
        <f>("The procrastinator's guide to financial security :how anyone over 40 can still build a strong portfolio--and retire comfortably /")</f>
        <v>The procrastinator's guide to financial security :how anyone over 40 can still build a strong portfolio--and retire comfortably /</v>
      </c>
      <c r="D506" s="1" t="str">
        <f t="shared" si="18"/>
        <v>4F西文書庫 4F Western Language Books</v>
      </c>
      <c r="E506" s="1" t="str">
        <f>("HG179 T262 2001")</f>
        <v>HG179 T262 2001</v>
      </c>
    </row>
    <row r="507" spans="2:9" x14ac:dyDescent="0.25">
      <c r="B507" s="1" t="str">
        <f>("W00002553")</f>
        <v>W00002553</v>
      </c>
      <c r="C507" s="1" t="str">
        <f>("Financial markets and institutions / ")</f>
        <v xml:space="preserve">Financial markets and institutions / </v>
      </c>
      <c r="D507" s="1" t="str">
        <f t="shared" si="18"/>
        <v>4F西文書庫 4F Western Language Books</v>
      </c>
      <c r="E507" s="1" t="str">
        <f>("HG181 M558-2 1999")</f>
        <v>HG181 M558-2 1999</v>
      </c>
    </row>
    <row r="508" spans="2:9" x14ac:dyDescent="0.25">
      <c r="B508" s="1" t="str">
        <f>("W00002968")</f>
        <v>W00002968</v>
      </c>
      <c r="C508" s="1" t="str">
        <f>("Financial markets and institutions /")</f>
        <v>Financial markets and institutions /</v>
      </c>
      <c r="D508" s="1" t="str">
        <f t="shared" si="18"/>
        <v>4F西文書庫 4F Western Language Books</v>
      </c>
      <c r="E508" s="1" t="str">
        <f>("HG181 M678 1998")</f>
        <v>HG181 M678 1998</v>
      </c>
    </row>
    <row r="509" spans="2:9" x14ac:dyDescent="0.25">
      <c r="B509" s="1" t="str">
        <f>("W00002515")</f>
        <v>W00002515</v>
      </c>
      <c r="C509" s="1" t="str">
        <f>("Financial institutions management :a modern perspective /")</f>
        <v>Financial institutions management :a modern perspective /</v>
      </c>
      <c r="D509" s="1" t="str">
        <f t="shared" si="18"/>
        <v>4F西文書庫 4F Western Language Books</v>
      </c>
      <c r="E509" s="1" t="str">
        <f>("HG181 S257 1999")</f>
        <v>HG181 S257 1999</v>
      </c>
      <c r="G509" s="1" t="str">
        <f>("xx, 742 p. :")</f>
        <v>xx, 742 p. :</v>
      </c>
      <c r="H509" s="1" t="str">
        <f>("ill., maps ;")</f>
        <v>ill., maps ;</v>
      </c>
      <c r="I509" s="1" t="str">
        <f>("26 cm ")</f>
        <v xml:space="preserve">26 cm </v>
      </c>
    </row>
    <row r="510" spans="2:9" x14ac:dyDescent="0.25">
      <c r="B510" s="1" t="str">
        <f>("W00002182")</f>
        <v>W00002182</v>
      </c>
      <c r="C510" s="1" t="str">
        <f>("Financial market analysis / ")</f>
        <v xml:space="preserve">Financial market analysis / </v>
      </c>
      <c r="D510" s="1" t="str">
        <f t="shared" si="18"/>
        <v>4F西文書庫 4F Western Language Books</v>
      </c>
      <c r="E510" s="1" t="str">
        <f>("HG186.G7 B636 2000")</f>
        <v>HG186.G7 B636 2000</v>
      </c>
    </row>
    <row r="511" spans="2:9" x14ac:dyDescent="0.25">
      <c r="B511" s="1" t="str">
        <f>("W00002501")</f>
        <v>W00002501</v>
      </c>
      <c r="C511" s="1" t="str">
        <f>("Principles of money, banking, and financial markets /")</f>
        <v>Principles of money, banking, and financial markets /</v>
      </c>
      <c r="D511" s="1" t="str">
        <f t="shared" si="18"/>
        <v>4F西文書庫 4F Western Language Books</v>
      </c>
      <c r="E511" s="1" t="str">
        <f>("HG221 R614 2000")</f>
        <v>HG221 R614 2000</v>
      </c>
    </row>
    <row r="512" spans="2:9" x14ac:dyDescent="0.25">
      <c r="B512" s="1" t="str">
        <f>("W00003149")</f>
        <v>W00003149</v>
      </c>
      <c r="C512" s="1" t="str">
        <f>("Banking alliances /")</f>
        <v>Banking alliances /</v>
      </c>
      <c r="D512" s="1" t="str">
        <f t="shared" si="18"/>
        <v>4F西文書庫 4F Western Language Books</v>
      </c>
      <c r="E512" s="1" t="str">
        <f>("HG2491 J67 2000")</f>
        <v>HG2491 J67 2000</v>
      </c>
    </row>
    <row r="513" spans="2:10" x14ac:dyDescent="0.25">
      <c r="B513" s="1" t="str">
        <f>("W00003129")</f>
        <v>W00003129</v>
      </c>
      <c r="C513" s="1" t="str">
        <f>("Collections made easy :fast, efficient, proven techniques to get cash from your customers /")</f>
        <v>Collections made easy :fast, efficient, proven techniques to get cash from your customers /</v>
      </c>
      <c r="D513" s="1" t="str">
        <f t="shared" si="18"/>
        <v>4F西文書庫 4F Western Language Books</v>
      </c>
      <c r="E513" s="1" t="str">
        <f>("HG3752.7.U6 F917 1999")</f>
        <v>HG3752.7.U6 F917 1999</v>
      </c>
    </row>
    <row r="514" spans="2:10" x14ac:dyDescent="0.25">
      <c r="B514" s="1" t="str">
        <f>("W00002403")</f>
        <v>W00002403</v>
      </c>
      <c r="C514" s="1" t="str">
        <f>("Repair your own credit /")</f>
        <v>Repair your own credit /</v>
      </c>
      <c r="D514" s="1" t="str">
        <f t="shared" si="18"/>
        <v>4F西文書庫 4F Western Language Books</v>
      </c>
      <c r="E514" s="1" t="str">
        <f>("HG3756.U54 H226 2001")</f>
        <v>HG3756.U54 H226 2001</v>
      </c>
    </row>
    <row r="515" spans="2:10" x14ac:dyDescent="0.25">
      <c r="B515" s="1" t="str">
        <f>("W00002474")</f>
        <v>W00002474</v>
      </c>
      <c r="C515" s="1" t="str">
        <f>("An introduction to foreign exchange &amp; money markets.")</f>
        <v>An introduction to foreign exchange &amp; money markets.</v>
      </c>
      <c r="D515" s="1" t="str">
        <f t="shared" si="18"/>
        <v>4F西文書庫 4F Western Language Books</v>
      </c>
      <c r="E515" s="1" t="str">
        <f>("HG3821 I54 1999")</f>
        <v>HG3821 I54 1999</v>
      </c>
      <c r="G515" s="1" t="str">
        <f>("352 p. :")</f>
        <v>352 p. :</v>
      </c>
      <c r="H515" s="1" t="str">
        <f>("ill. ;")</f>
        <v>ill. ;</v>
      </c>
      <c r="I515" s="1" t="str">
        <f>("25 x 27 cm.")</f>
        <v>25 x 27 cm.</v>
      </c>
    </row>
    <row r="516" spans="2:10" x14ac:dyDescent="0.25">
      <c r="B516" s="1" t="str">
        <f>("W00002241")</f>
        <v>W00002241</v>
      </c>
      <c r="C516" s="1" t="str">
        <f>("Export practice and management /")</f>
        <v>Export practice and management /</v>
      </c>
      <c r="D516" s="1" t="str">
        <f t="shared" si="18"/>
        <v>4F西文書庫 4F Western Language Books</v>
      </c>
      <c r="E516" s="1" t="str">
        <f>("HG388.1 B816 2000")</f>
        <v>HG388.1 B816 2000</v>
      </c>
    </row>
    <row r="517" spans="2:10" x14ac:dyDescent="0.25">
      <c r="B517" s="1" t="str">
        <f>("W00002329")</f>
        <v>W00002329</v>
      </c>
      <c r="C517" s="1" t="str">
        <f>("Fun and Gains:motivate andenergize staff with workplace games,contents andactivites/")</f>
        <v>Fun and Gains:motivate andenergize staff with workplace games,contents andactivites/</v>
      </c>
      <c r="D517" s="1" t="str">
        <f t="shared" si="18"/>
        <v>4F西文書庫 4F Western Language Books</v>
      </c>
      <c r="E517" s="1" t="str">
        <f>("HG388.1 G816 2000")</f>
        <v>HG388.1 G816 2000</v>
      </c>
      <c r="F517" s="1" t="str">
        <f>("光碟片1片")</f>
        <v>光碟片1片</v>
      </c>
    </row>
    <row r="518" spans="2:10" x14ac:dyDescent="0.25">
      <c r="B518" s="1" t="str">
        <f>("W00002318")</f>
        <v>W00002318</v>
      </c>
      <c r="C518" s="1" t="str">
        <f>("Social costs and sustainable mobility/")</f>
        <v>Social costs and sustainable mobility/</v>
      </c>
      <c r="D518" s="1" t="str">
        <f t="shared" si="18"/>
        <v>4F西文書庫 4F Western Language Books</v>
      </c>
      <c r="E518" s="1" t="str">
        <f>("HG388.1 R416 2000")</f>
        <v>HG388.1 R416 2000</v>
      </c>
    </row>
    <row r="519" spans="2:10" x14ac:dyDescent="0.25">
      <c r="B519" s="1" t="str">
        <f>("W00002527")</f>
        <v>W00002527</v>
      </c>
      <c r="C519" s="1" t="str">
        <f>("International financial management / ")</f>
        <v xml:space="preserve">International financial management / </v>
      </c>
      <c r="D519" s="1" t="str">
        <f t="shared" si="18"/>
        <v>4F西文書庫 4F Western Language Books</v>
      </c>
      <c r="E519" s="1" t="str">
        <f>("HG3881 E56 2001")</f>
        <v>HG3881 E56 2001</v>
      </c>
    </row>
    <row r="520" spans="2:10" x14ac:dyDescent="0.25">
      <c r="B520" s="1" t="str">
        <f>("W00002569")</f>
        <v>W00002569</v>
      </c>
      <c r="C520" s="1" t="str">
        <f>("International finance management/ ")</f>
        <v xml:space="preserve">International finance management/ </v>
      </c>
      <c r="D520" s="1" t="str">
        <f t="shared" si="18"/>
        <v>4F西文書庫 4F Western Language Books</v>
      </c>
      <c r="E520" s="1" t="str">
        <f>("HG3881 M179-2 2000")</f>
        <v>HG3881 M179-2 2000</v>
      </c>
      <c r="G520" s="1" t="str">
        <f>("iv, 660p.: ")</f>
        <v xml:space="preserve">iv, 660p.: </v>
      </c>
      <c r="H520" s="1" t="str">
        <f>("ill. ; ")</f>
        <v xml:space="preserve">ill. ; </v>
      </c>
      <c r="I520" s="1" t="str">
        <f>("27cm.")</f>
        <v>27cm.</v>
      </c>
    </row>
    <row r="521" spans="2:10" x14ac:dyDescent="0.25">
      <c r="B521" s="1" t="str">
        <f>("W00002503")</f>
        <v>W00002503</v>
      </c>
      <c r="C521" s="1" t="str">
        <f>("International money and finance / ")</f>
        <v xml:space="preserve">International money and finance / </v>
      </c>
      <c r="D521" s="1" t="str">
        <f t="shared" si="18"/>
        <v>4F西文書庫 4F Western Language Books</v>
      </c>
      <c r="E521" s="1" t="str">
        <f>("HG3881 M531-2 2000")</f>
        <v>HG3881 M531-2 2000</v>
      </c>
      <c r="G521" s="1" t="str">
        <f>("xvi, 269 p. : ")</f>
        <v xml:space="preserve">xvi, 269 p. : </v>
      </c>
      <c r="H521" s="1" t="str">
        <f>("ill. ; ")</f>
        <v xml:space="preserve">ill. ; </v>
      </c>
      <c r="I521" s="1" t="str">
        <f>("24 cm. ")</f>
        <v xml:space="preserve">24 cm. </v>
      </c>
    </row>
    <row r="522" spans="2:10" x14ac:dyDescent="0.25">
      <c r="B522" s="1" t="str">
        <f>("W00003138")</f>
        <v>W00003138</v>
      </c>
      <c r="C522" s="1" t="str">
        <f>("Lectures on corporate finance /")</f>
        <v>Lectures on corporate finance /</v>
      </c>
      <c r="D522" s="1" t="str">
        <f t="shared" si="18"/>
        <v>4F西文書庫 4F Western Language Books</v>
      </c>
      <c r="E522" s="1" t="str">
        <f>("HG4026 B745 2001")</f>
        <v>HG4026 B745 2001</v>
      </c>
    </row>
    <row r="523" spans="2:10" x14ac:dyDescent="0.25">
      <c r="B523" s="1" t="str">
        <f>("W00002486")</f>
        <v>W00002486</v>
      </c>
      <c r="C523" s="1" t="str">
        <f>("Fundamentals of financial management / ")</f>
        <v xml:space="preserve">Fundamentals of financial management / </v>
      </c>
      <c r="D523" s="1" t="str">
        <f>("罕用書庫1-洽櫃台填單 Upon-Request Collection1 fil")</f>
        <v>罕用書庫1-洽櫃台填單 Upon-Request Collection1 fil</v>
      </c>
      <c r="E523" s="1" t="str">
        <f>("HG4026 B855-3 2001 c.7")</f>
        <v>HG4026 B855-3 2001 c.7</v>
      </c>
      <c r="G523" s="1" t="str">
        <f>("1 v. (various pagings) : ")</f>
        <v xml:space="preserve">1 v. (various pagings) : </v>
      </c>
      <c r="H523" s="1" t="str">
        <f>("ill. ; ")</f>
        <v xml:space="preserve">ill. ; </v>
      </c>
      <c r="I523" s="1" t="str">
        <f>("26 cm. +")</f>
        <v>26 cm. +</v>
      </c>
      <c r="J523" s="1" t="str">
        <f>("1 student CD-ROM ")</f>
        <v xml:space="preserve">1 student CD-ROM </v>
      </c>
    </row>
    <row r="524" spans="2:10" x14ac:dyDescent="0.25">
      <c r="B524" s="1" t="str">
        <f>("W00002471")</f>
        <v>W00002471</v>
      </c>
      <c r="C524" s="1" t="str">
        <f>("Fundamentals of corporate finance /")</f>
        <v>Fundamentals of corporate finance /</v>
      </c>
      <c r="D524" s="1" t="str">
        <f t="shared" ref="D524:D538" si="19">("4F西文書庫 4F Western Language Books")</f>
        <v>4F西文書庫 4F Western Language Books</v>
      </c>
      <c r="E524" s="1" t="str">
        <f>("HG4026 R823 2000")</f>
        <v>HG4026 R823 2000</v>
      </c>
    </row>
    <row r="525" spans="2:10" x14ac:dyDescent="0.25">
      <c r="B525" s="1" t="str">
        <f>("W00002583")</f>
        <v>W00002583</v>
      </c>
      <c r="C525" s="1" t="str">
        <f>("Multinational finance / ")</f>
        <v xml:space="preserve">Multinational finance / </v>
      </c>
      <c r="D525" s="1" t="str">
        <f t="shared" si="19"/>
        <v>4F西文書庫 4F Western Language Books</v>
      </c>
      <c r="E525" s="1" t="str">
        <f>("HG4027.5 B986 2000")</f>
        <v>HG4027.5 B986 2000</v>
      </c>
      <c r="G525" s="1" t="str">
        <f>("xxii, 682 p. : ")</f>
        <v xml:space="preserve">xxii, 682 p. : </v>
      </c>
      <c r="H525" s="1" t="str">
        <f>("ill. ; ")</f>
        <v xml:space="preserve">ill. ; </v>
      </c>
      <c r="I525" s="1" t="str">
        <f>("24 cm. ")</f>
        <v xml:space="preserve">24 cm. </v>
      </c>
    </row>
    <row r="526" spans="2:10" x14ac:dyDescent="0.25">
      <c r="B526" s="1" t="str">
        <f>("W00002573")</f>
        <v>W00002573</v>
      </c>
      <c r="C526" s="1" t="str">
        <f>("Foundations of multinational financial management / ")</f>
        <v xml:space="preserve">Foundations of multinational financial management / </v>
      </c>
      <c r="D526" s="1" t="str">
        <f t="shared" si="19"/>
        <v>4F西文書庫 4F Western Language Books</v>
      </c>
      <c r="E526" s="1" t="str">
        <f>("HG4027.5 S529 1998")</f>
        <v>HG4027.5 S529 1998</v>
      </c>
    </row>
    <row r="527" spans="2:10" x14ac:dyDescent="0.25">
      <c r="B527" s="1" t="str">
        <f>("W00002088")</f>
        <v>W00002088</v>
      </c>
      <c r="C527" s="1" t="str">
        <f>("Angel investing : matching startup funds with startup companies : the guide for entrepreneurs, individual investors, and venture capitalists / ")</f>
        <v xml:space="preserve">Angel investing : matching startup funds with startup companies : the guide for entrepreneurs, individual investors, and venture capitalists / </v>
      </c>
      <c r="D527" s="1" t="str">
        <f t="shared" si="19"/>
        <v>4F西文書庫 4F Western Language Books</v>
      </c>
      <c r="E527" s="1" t="str">
        <f>("HG4027.6 V217 2000")</f>
        <v>HG4027.6 V217 2000</v>
      </c>
    </row>
    <row r="528" spans="2:10" x14ac:dyDescent="0.25">
      <c r="B528" s="1" t="str">
        <f>("W00003156")</f>
        <v>W00003156</v>
      </c>
      <c r="C528" s="1" t="str">
        <f>("Financial management for the small business /")</f>
        <v>Financial management for the small business /</v>
      </c>
      <c r="D528" s="1" t="str">
        <f t="shared" si="19"/>
        <v>4F西文書庫 4F Western Language Books</v>
      </c>
      <c r="E528" s="1" t="str">
        <f>("HG4027.7 B278 2001")</f>
        <v>HG4027.7 B278 2001</v>
      </c>
    </row>
    <row r="529" spans="2:9" x14ac:dyDescent="0.25">
      <c r="B529" s="1" t="str">
        <f>("W00002836")</f>
        <v>W00002836</v>
      </c>
      <c r="C529" s="1" t="str">
        <f>("PalmPilot :the ultimate guide /")</f>
        <v>PalmPilot :the ultimate guide /</v>
      </c>
      <c r="D529" s="1" t="str">
        <f t="shared" si="19"/>
        <v>4F西文書庫 4F Western Language Books</v>
      </c>
      <c r="E529" s="1" t="str">
        <f>("HG4027.7 P746 1999")</f>
        <v>HG4027.7 P746 1999</v>
      </c>
    </row>
    <row r="530" spans="2:9" x14ac:dyDescent="0.25">
      <c r="B530" s="1" t="str">
        <f>("W00003076")</f>
        <v>W00003076</v>
      </c>
      <c r="C530" s="1" t="str">
        <f>("Budgeting for non-financial managers :how to master and maintain effective budgets /")</f>
        <v>Budgeting for non-financial managers :how to master and maintain effective budgets /</v>
      </c>
      <c r="D530" s="1" t="str">
        <f t="shared" si="19"/>
        <v>4F西文書庫 4F Western Language Books</v>
      </c>
      <c r="E530" s="1" t="str">
        <f>("HG4028.B8 M232 2000")</f>
        <v>HG4028.B8 M232 2000</v>
      </c>
    </row>
    <row r="531" spans="2:9" x14ac:dyDescent="0.25">
      <c r="B531" s="1" t="str">
        <f>("W00003088")</f>
        <v>W00003088</v>
      </c>
      <c r="C531" s="1" t="str">
        <f>("Mastering spreadsheet budgets and forecasts :how to save time and gain control of your business /")</f>
        <v>Mastering spreadsheet budgets and forecasts :how to save time and gain control of your business /</v>
      </c>
      <c r="D531" s="1" t="str">
        <f t="shared" si="19"/>
        <v>4F西文書庫 4F Western Language Books</v>
      </c>
      <c r="E531" s="1" t="str">
        <f>("HG4028.B8 S446 2000")</f>
        <v>HG4028.B8 S446 2000</v>
      </c>
    </row>
    <row r="532" spans="2:9" x14ac:dyDescent="0.25">
      <c r="B532" s="1" t="str">
        <f>("W00003126")</f>
        <v>W00003126</v>
      </c>
      <c r="C532" s="1" t="str">
        <f>("Debt management :a practitioner's guide /")</f>
        <v>Debt management :a practitioner's guide /</v>
      </c>
      <c r="D532" s="1" t="str">
        <f t="shared" si="19"/>
        <v>4F西文書庫 4F Western Language Books</v>
      </c>
      <c r="E532" s="1" t="str">
        <f>("HG4028.D3 F514 2001")</f>
        <v>HG4028.D3 F514 2001</v>
      </c>
    </row>
    <row r="533" spans="2:9" x14ac:dyDescent="0.25">
      <c r="B533" s="1" t="str">
        <f>("W00002087")</f>
        <v>W00002087</v>
      </c>
      <c r="C533" s="1" t="str">
        <f>("The vulture investors /")</f>
        <v>The vulture investors /</v>
      </c>
      <c r="D533" s="1" t="str">
        <f t="shared" si="19"/>
        <v>4F西文書庫 4F Western Language Books</v>
      </c>
      <c r="E533" s="1" t="str">
        <f>("HG4028.M4 R813 2000")</f>
        <v>HG4028.M4 R813 2000</v>
      </c>
    </row>
    <row r="534" spans="2:9" x14ac:dyDescent="0.25">
      <c r="B534" s="1" t="str">
        <f>("W00003193")</f>
        <v>W00003193</v>
      </c>
      <c r="C534" s="1" t="str">
        <f>("NetValue :valuing dot-com companies : uncovering the reality behind the hype /")</f>
        <v>NetValue :valuing dot-com companies : uncovering the reality behind the hype /</v>
      </c>
      <c r="D534" s="1" t="str">
        <f t="shared" si="19"/>
        <v>4F西文書庫 4F Western Language Books</v>
      </c>
      <c r="E534" s="1" t="str">
        <f>("HG4028.V3 C594 2000")</f>
        <v>HG4028.V3 C594 2000</v>
      </c>
    </row>
    <row r="535" spans="2:9" x14ac:dyDescent="0.25">
      <c r="B535" s="1" t="str">
        <f>("W00002350")</f>
        <v>W00002350</v>
      </c>
      <c r="C535" s="1" t="str">
        <f>("Power of performance management : how leading companies create sustained value / ")</f>
        <v xml:space="preserve">Power of performance management : how leading companies create sustained value / </v>
      </c>
      <c r="D535" s="1" t="str">
        <f t="shared" si="19"/>
        <v>4F西文書庫 4F Western Language Books</v>
      </c>
      <c r="E535" s="1" t="str">
        <f>("HG4028.V3 D515 2001")</f>
        <v>HG4028.V3 D515 2001</v>
      </c>
    </row>
    <row r="536" spans="2:9" x14ac:dyDescent="0.25">
      <c r="B536" s="1" t="str">
        <f>("W00003142")</f>
        <v>W00003142</v>
      </c>
      <c r="C536" s="1" t="str">
        <f>("The EVA challenge :implementing value-added change in an organization /")</f>
        <v>The EVA challenge :implementing value-added change in an organization /</v>
      </c>
      <c r="D536" s="1" t="str">
        <f t="shared" si="19"/>
        <v>4F西文書庫 4F Western Language Books</v>
      </c>
      <c r="E536" s="1" t="str">
        <f>("HG4028.V3 S839 2001")</f>
        <v>HG4028.V3 S839 2001</v>
      </c>
    </row>
    <row r="537" spans="2:9" x14ac:dyDescent="0.25">
      <c r="B537" s="1" t="str">
        <f>("W00003071")</f>
        <v>W00003071</v>
      </c>
      <c r="C537" s="1" t="str">
        <f>("The value growers :achieving competitive advantage through long-term growth and profits /")</f>
        <v>The value growers :achieving competitive advantage through long-term growth and profits /</v>
      </c>
      <c r="D537" s="1" t="str">
        <f t="shared" si="19"/>
        <v>4F西文書庫 4F Western Language Books</v>
      </c>
      <c r="E537" s="1" t="str">
        <f>("HG4028.V3 V215 2001")</f>
        <v>HG4028.V3 V215 2001</v>
      </c>
    </row>
    <row r="538" spans="2:9" x14ac:dyDescent="0.25">
      <c r="B538" s="1" t="str">
        <f>("W00003066")</f>
        <v>W00003066</v>
      </c>
      <c r="C538" s="1" t="str">
        <f>("The inner game of investing : access the power of your investment personality / ")</f>
        <v xml:space="preserve">The inner game of investing : access the power of your investment personality / </v>
      </c>
      <c r="D538" s="1" t="str">
        <f t="shared" si="19"/>
        <v>4F西文書庫 4F Western Language Books</v>
      </c>
      <c r="E538" s="1" t="str">
        <f>("HG4515.15 N666 1999")</f>
        <v>HG4515.15 N666 1999</v>
      </c>
      <c r="G538" s="1" t="str">
        <f>("ix, 198 p. : ")</f>
        <v xml:space="preserve">ix, 198 p. : </v>
      </c>
      <c r="H538" s="1" t="str">
        <f>("ill. ; ")</f>
        <v xml:space="preserve">ill. ; </v>
      </c>
      <c r="I538" s="1" t="str">
        <f>("24 cm. ")</f>
        <v xml:space="preserve">24 cm. </v>
      </c>
    </row>
    <row r="539" spans="2:9" x14ac:dyDescent="0.25">
      <c r="B539" s="1" t="str">
        <f>("W00002449")</f>
        <v>W00002449</v>
      </c>
      <c r="C539" s="1" t="str">
        <f>("The psychology of money : an investment manager's guide to beating the market / ")</f>
        <v xml:space="preserve">The psychology of money : an investment manager's guide to beating the market / </v>
      </c>
      <c r="D539" s="1" t="str">
        <f>("罕用書庫1-洽櫃台填單 Upon-Request Collection1 fil")</f>
        <v>罕用書庫1-洽櫃台填單 Upon-Request Collection1 fil</v>
      </c>
      <c r="E539" s="1" t="str">
        <f>("HG4515.15 W269 2001 c.2")</f>
        <v>HG4515.15 W269 2001 c.2</v>
      </c>
      <c r="G539" s="1" t="str">
        <f>("xiv, 258 p. : ")</f>
        <v xml:space="preserve">xiv, 258 p. : </v>
      </c>
      <c r="H539" s="1" t="str">
        <f>("ill. ; ")</f>
        <v xml:space="preserve">ill. ; </v>
      </c>
      <c r="I539" s="1" t="str">
        <f>("24 cm. ")</f>
        <v xml:space="preserve">24 cm. </v>
      </c>
    </row>
    <row r="540" spans="2:9" x14ac:dyDescent="0.25">
      <c r="B540" s="1" t="str">
        <f>("W00003154")</f>
        <v>W00003154</v>
      </c>
      <c r="C540" s="1" t="str">
        <f>("Electronic trading masters :secrets from the pros /")</f>
        <v>Electronic trading masters :secrets from the pros /</v>
      </c>
      <c r="D540" s="1" t="str">
        <f t="shared" ref="D540:D546" si="20">("4F西文書庫 4F Western Language Books")</f>
        <v>4F西文書庫 4F Western Language Books</v>
      </c>
      <c r="E540" s="1" t="str">
        <f>("HG4515.95 B163 2001")</f>
        <v>HG4515.95 B163 2001</v>
      </c>
    </row>
    <row r="541" spans="2:9" x14ac:dyDescent="0.25">
      <c r="B541" s="1" t="str">
        <f>("W00002351")</f>
        <v>W00002351</v>
      </c>
      <c r="C541" s="1" t="str">
        <f>("Getting started in online investing / ")</f>
        <v xml:space="preserve">Getting started in online investing / </v>
      </c>
      <c r="D541" s="1" t="str">
        <f t="shared" si="20"/>
        <v>4F西文書庫 4F Western Language Books</v>
      </c>
      <c r="E541" s="1" t="str">
        <f>("HG4515.95 B882 1999")</f>
        <v>HG4515.95 B882 1999</v>
      </c>
      <c r="G541" s="1" t="str">
        <f>("xi, 258 p. : ")</f>
        <v xml:space="preserve">xi, 258 p. : </v>
      </c>
      <c r="H541" s="1" t="str">
        <f>("ill. ; ")</f>
        <v xml:space="preserve">ill. ; </v>
      </c>
      <c r="I541" s="1" t="str">
        <f>("24 cm. ")</f>
        <v xml:space="preserve">24 cm. </v>
      </c>
    </row>
    <row r="542" spans="2:9" x14ac:dyDescent="0.25">
      <c r="B542" s="1" t="str">
        <f>("W00003182")</f>
        <v>W00003182</v>
      </c>
      <c r="C542" s="1" t="str">
        <f>("Day trading on the edge :a look-before-you-leap guide to extreme investing /")</f>
        <v>Day trading on the edge :a look-before-you-leap guide to extreme investing /</v>
      </c>
      <c r="D542" s="1" t="str">
        <f t="shared" si="20"/>
        <v>4F西文書庫 4F Western Language Books</v>
      </c>
      <c r="E542" s="1" t="str">
        <f>("HG4515.95 M412 2001")</f>
        <v>HG4515.95 M412 2001</v>
      </c>
    </row>
    <row r="543" spans="2:9" x14ac:dyDescent="0.25">
      <c r="B543" s="1" t="str">
        <f>("W00003101")</f>
        <v>W00003101</v>
      </c>
      <c r="C543" s="1" t="str">
        <f>("Capital market revolution :the future of markets in an online world /")</f>
        <v>Capital market revolution :the future of markets in an online world /</v>
      </c>
      <c r="D543" s="1" t="str">
        <f t="shared" si="20"/>
        <v>4F西文書庫 4F Western Language Books</v>
      </c>
      <c r="E543" s="1" t="str">
        <f>("HG4515.95 Y75 1999")</f>
        <v>HG4515.95 Y75 1999</v>
      </c>
    </row>
    <row r="544" spans="2:9" x14ac:dyDescent="0.25">
      <c r="B544" s="1" t="str">
        <f>("W00003052")</f>
        <v>W00003052</v>
      </c>
      <c r="C544" s="1" t="str">
        <f>("Global finance and financial markets :a modern introduction /")</f>
        <v>Global finance and financial markets :a modern introduction /</v>
      </c>
      <c r="D544" s="1" t="str">
        <f t="shared" si="20"/>
        <v>4F西文書庫 4F Western Language Books</v>
      </c>
      <c r="E544" s="1" t="str">
        <f>("HG4521 B218 2001")</f>
        <v>HG4521 B218 2001</v>
      </c>
    </row>
    <row r="545" spans="2:9" x14ac:dyDescent="0.25">
      <c r="B545" s="1" t="str">
        <f>("W00002236")</f>
        <v>W00002236</v>
      </c>
      <c r="C545" s="1" t="str">
        <f>("A woman's guide to savvy investing :everything you need to know to protect your future /")</f>
        <v>A woman's guide to savvy investing :everything you need to know to protect your future /</v>
      </c>
      <c r="D545" s="1" t="str">
        <f t="shared" si="20"/>
        <v>4F西文書庫 4F Western Language Books</v>
      </c>
      <c r="E545" s="1" t="str">
        <f>("HG4521 B548 1998")</f>
        <v>HG4521 B548 1998</v>
      </c>
    </row>
    <row r="546" spans="2:9" x14ac:dyDescent="0.25">
      <c r="B546" s="1" t="str">
        <f>("W00002349")</f>
        <v>W00002349</v>
      </c>
      <c r="C546" s="1" t="str">
        <f>("Seeing tomorrow :rewriting the rules of risk /")</f>
        <v>Seeing tomorrow :rewriting the rules of risk /</v>
      </c>
      <c r="D546" s="1" t="str">
        <f t="shared" si="20"/>
        <v>4F西文書庫 4F Western Language Books</v>
      </c>
      <c r="E546" s="1" t="str">
        <f>("HG4521 D375 1998")</f>
        <v>HG4521 D375 1998</v>
      </c>
    </row>
    <row r="547" spans="2:9" x14ac:dyDescent="0.25">
      <c r="B547" s="1" t="str">
        <f>("W00002496")</f>
        <v>W00002496</v>
      </c>
      <c r="C547" s="1" t="str">
        <f>("The Warren Buffett portfolio : mastering the power of the focus investment strategy / ")</f>
        <v xml:space="preserve">The Warren Buffett portfolio : mastering the power of the focus investment strategy / </v>
      </c>
      <c r="D547" s="1" t="str">
        <f>("罕用書庫1-洽櫃台填單 Upon-Request Collection1 fil")</f>
        <v>罕用書庫1-洽櫃台填單 Upon-Request Collection1 fil</v>
      </c>
      <c r="E547" s="1" t="str">
        <f>("HG4521 H146 1999 c.2")</f>
        <v>HG4521 H146 1999 c.2</v>
      </c>
      <c r="G547" s="1" t="str">
        <f>("x, 246 p. : ")</f>
        <v xml:space="preserve">x, 246 p. : </v>
      </c>
      <c r="H547" s="1" t="str">
        <f>("ill. ; ")</f>
        <v xml:space="preserve">ill. ; </v>
      </c>
      <c r="I547" s="1" t="str">
        <f>("24 cm. ")</f>
        <v xml:space="preserve">24 cm. </v>
      </c>
    </row>
    <row r="548" spans="2:9" x14ac:dyDescent="0.25">
      <c r="B548" s="1" t="str">
        <f>("W00003059")</f>
        <v>W00003059</v>
      </c>
      <c r="C548" s="1" t="str">
        <f>("Investment appraisal for non-financial managers :a step-by-step guide to making profitable decisions /")</f>
        <v>Investment appraisal for non-financial managers :a step-by-step guide to making profitable decisions /</v>
      </c>
      <c r="D548" s="1" t="str">
        <f t="shared" ref="D548:D562" si="21">("4F西文書庫 4F Western Language Books")</f>
        <v>4F西文書庫 4F Western Language Books</v>
      </c>
      <c r="E548" s="1" t="str">
        <f>("HG4521 M829 2000")</f>
        <v>HG4521 M829 2000</v>
      </c>
    </row>
    <row r="549" spans="2:9" x14ac:dyDescent="0.25">
      <c r="B549" s="1" t="str">
        <f>("W00003058")</f>
        <v>W00003058</v>
      </c>
      <c r="C549" s="1" t="str">
        <f>("Investing with the grand masters :insights from Britain's greatest investment minds /")</f>
        <v>Investing with the grand masters :insights from Britain's greatest investment minds /</v>
      </c>
      <c r="D549" s="1" t="str">
        <f t="shared" si="21"/>
        <v>4F西文書庫 4F Western Language Books</v>
      </c>
      <c r="E549" s="1" t="str">
        <f>("HG4521 M889 1999")</f>
        <v>HG4521 M889 1999</v>
      </c>
    </row>
    <row r="550" spans="2:9" x14ac:dyDescent="0.25">
      <c r="B550" s="1" t="str">
        <f>("W00003230")</f>
        <v>W00003230</v>
      </c>
      <c r="C550" s="1" t="str">
        <f>("The real life investing guide /")</f>
        <v>The real life investing guide /</v>
      </c>
      <c r="D550" s="1" t="str">
        <f t="shared" si="21"/>
        <v>4F西文書庫 4F Western Language Books</v>
      </c>
      <c r="E550" s="1" t="str">
        <f>("HG4527 P771 1998")</f>
        <v>HG4527 P771 1998</v>
      </c>
    </row>
    <row r="551" spans="2:9" x14ac:dyDescent="0.25">
      <c r="B551" s="1" t="str">
        <f>("W00002187")</f>
        <v>W00002187</v>
      </c>
      <c r="C551" s="1" t="str">
        <f>("Barron's guide to making investment decisions /")</f>
        <v>Barron's guide to making investment decisions /</v>
      </c>
      <c r="D551" s="1" t="str">
        <f t="shared" si="21"/>
        <v>4F西文書庫 4F Western Language Books</v>
      </c>
      <c r="E551" s="1" t="str">
        <f>("HG4527 S438 1999")</f>
        <v>HG4527 S438 1999</v>
      </c>
    </row>
    <row r="552" spans="2:9" x14ac:dyDescent="0.25">
      <c r="B552" s="1" t="str">
        <f>("W00003073")</f>
        <v>W00003073</v>
      </c>
      <c r="C552" s="1" t="str">
        <f>("The wealth equation /")</f>
        <v>The wealth equation /</v>
      </c>
      <c r="D552" s="1" t="str">
        <f t="shared" si="21"/>
        <v>4F西文書庫 4F Western Language Books</v>
      </c>
      <c r="E552" s="1" t="str">
        <f>("HG4527 T167 1999")</f>
        <v>HG4527 T167 1999</v>
      </c>
    </row>
    <row r="553" spans="2:9" x14ac:dyDescent="0.25">
      <c r="B553" s="1" t="str">
        <f>("W00002076")</f>
        <v>W00002076</v>
      </c>
      <c r="C553" s="1" t="str">
        <f>("Technical analysis from A to Z /")</f>
        <v>Technical analysis from A to Z /</v>
      </c>
      <c r="D553" s="1" t="str">
        <f t="shared" si="21"/>
        <v>4F西文書庫 4F Western Language Books</v>
      </c>
      <c r="E553" s="1" t="str">
        <f>("HG4529 A177 2001")</f>
        <v>HG4529 A177 2001</v>
      </c>
    </row>
    <row r="554" spans="2:9" x14ac:dyDescent="0.25">
      <c r="B554" s="1" t="str">
        <f>("W00002245")</f>
        <v>W00002245</v>
      </c>
      <c r="C554" s="1" t="str">
        <f>("Investment appraisal :a managerial approach /")</f>
        <v>Investment appraisal :a managerial approach /</v>
      </c>
      <c r="D554" s="1" t="str">
        <f t="shared" si="21"/>
        <v>4F西文書庫 4F Western Language Books</v>
      </c>
      <c r="E554" s="1" t="str">
        <f>("HG4529 P511 2000")</f>
        <v>HG4529 P511 2000</v>
      </c>
    </row>
    <row r="555" spans="2:9" x14ac:dyDescent="0.25">
      <c r="B555" s="1" t="str">
        <f>("W00002197")</f>
        <v>W00002197</v>
      </c>
      <c r="C555" s="1" t="str">
        <f>("Business portfolio management : valuation, risk assessment, and EVA strategies / ")</f>
        <v xml:space="preserve">Business portfolio management : valuation, risk assessment, and EVA strategies / </v>
      </c>
      <c r="D555" s="1" t="str">
        <f t="shared" si="21"/>
        <v>4F西文書庫 4F Western Language Books</v>
      </c>
      <c r="E555" s="1" t="str">
        <f>("HG4529.5 A425 2000")</f>
        <v>HG4529.5 A425 2000</v>
      </c>
    </row>
    <row r="556" spans="2:9" x14ac:dyDescent="0.25">
      <c r="B556" s="1" t="str">
        <f>("W00002233")</f>
        <v>W00002233</v>
      </c>
      <c r="C556" s="1" t="str">
        <f>("The intelligent asset allocator :how to build your portfolio to maximize returns and minimize risk /")</f>
        <v>The intelligent asset allocator :how to build your portfolio to maximize returns and minimize risk /</v>
      </c>
      <c r="D556" s="1" t="str">
        <f t="shared" si="21"/>
        <v>4F西文書庫 4F Western Language Books</v>
      </c>
      <c r="E556" s="1" t="str">
        <f>("HG4529.5 B5314 2001")</f>
        <v>HG4529.5 B5314 2001</v>
      </c>
    </row>
    <row r="557" spans="2:9" x14ac:dyDescent="0.25">
      <c r="B557" s="1" t="str">
        <f>("W00002506")</f>
        <v>W00002506</v>
      </c>
      <c r="C557" s="1" t="str">
        <f>("Portfolio construction, management, and protection / ")</f>
        <v xml:space="preserve">Portfolio construction, management, and protection / </v>
      </c>
      <c r="D557" s="1" t="str">
        <f t="shared" si="21"/>
        <v>4F西文書庫 4F Western Language Books</v>
      </c>
      <c r="E557" s="1" t="str">
        <f>("HG4529.5 S923 2000")</f>
        <v>HG4529.5 S923 2000</v>
      </c>
      <c r="G557" s="1" t="str">
        <f>("xxi, 601 p. : ")</f>
        <v xml:space="preserve">xxi, 601 p. : </v>
      </c>
      <c r="H557" s="1" t="str">
        <f>("ill. ; ")</f>
        <v xml:space="preserve">ill. ; </v>
      </c>
      <c r="I557" s="1" t="str">
        <f>("26 cm. ")</f>
        <v xml:space="preserve">26 cm. </v>
      </c>
    </row>
    <row r="558" spans="2:9" x14ac:dyDescent="0.25">
      <c r="B558" s="1" t="str">
        <f>("W00002508")</f>
        <v>W00002508</v>
      </c>
      <c r="C558" s="1" t="str">
        <f>("Portfolio construction, management, and protection / ")</f>
        <v xml:space="preserve">Portfolio construction, management, and protection / </v>
      </c>
      <c r="D558" s="1" t="str">
        <f t="shared" si="21"/>
        <v>4F西文書庫 4F Western Language Books</v>
      </c>
      <c r="E558" s="1" t="str">
        <f>("HG4529.5 S923 2000 c.2")</f>
        <v>HG4529.5 S923 2000 c.2</v>
      </c>
      <c r="G558" s="1" t="str">
        <f>("xxi, 601 p. : ")</f>
        <v xml:space="preserve">xxi, 601 p. : </v>
      </c>
      <c r="H558" s="1" t="str">
        <f>("ill. ; ")</f>
        <v xml:space="preserve">ill. ; </v>
      </c>
      <c r="I558" s="1" t="str">
        <f>("26 cm. ")</f>
        <v xml:space="preserve">26 cm. </v>
      </c>
    </row>
    <row r="559" spans="2:9" x14ac:dyDescent="0.25">
      <c r="B559" s="1" t="str">
        <f>("W00002077")</f>
        <v>W00002077</v>
      </c>
      <c r="C559" s="1" t="str">
        <f>("What is an exchange? :the automation, management, and regulation of financial markets /")</f>
        <v>What is an exchange? :the automation, management, and regulation of financial markets /</v>
      </c>
      <c r="D559" s="1" t="str">
        <f t="shared" si="21"/>
        <v>4F西文書庫 4F Western Language Books</v>
      </c>
      <c r="E559" s="1" t="str">
        <f>("HG4551 L477 1998")</f>
        <v>HG4551 L477 1998</v>
      </c>
      <c r="G559" s="1" t="str">
        <f>("xvii, 405 p. ;")</f>
        <v>xvii, 405 p. ;</v>
      </c>
      <c r="I559" s="1" t="str">
        <f>("24 cm ")</f>
        <v xml:space="preserve">24 cm </v>
      </c>
    </row>
    <row r="560" spans="2:9" x14ac:dyDescent="0.25">
      <c r="B560" s="1" t="str">
        <f>("W00002419")</f>
        <v>W00002419</v>
      </c>
      <c r="C560" s="1" t="str">
        <f>("Asset pricing under asymmetric information :bubbles, crashes, technical analysis, and herding /")</f>
        <v>Asset pricing under asymmetric information :bubbles, crashes, technical analysis, and herding /</v>
      </c>
      <c r="D560" s="1" t="str">
        <f t="shared" si="21"/>
        <v>4F西文書庫 4F Western Language Books</v>
      </c>
      <c r="E560" s="1" t="str">
        <f>("HG4636 B897 2001")</f>
        <v>HG4636 B897 2001</v>
      </c>
    </row>
    <row r="561" spans="2:9" x14ac:dyDescent="0.25">
      <c r="B561" s="1" t="str">
        <f>("W00002532")</f>
        <v>W00002532</v>
      </c>
      <c r="C561" s="1" t="str">
        <f>("Advanced fixed income valuation tools / ")</f>
        <v xml:space="preserve">Advanced fixed income valuation tools / </v>
      </c>
      <c r="D561" s="1" t="str">
        <f t="shared" si="21"/>
        <v>4F西文書庫 4F Western Language Books</v>
      </c>
      <c r="E561" s="1" t="str">
        <f>("HG4650 J43 2000 c.2")</f>
        <v>HG4650 J43 2000 c.2</v>
      </c>
    </row>
    <row r="562" spans="2:9" x14ac:dyDescent="0.25">
      <c r="B562" s="1" t="str">
        <f>("W00002053")</f>
        <v>W00002053</v>
      </c>
      <c r="C562" s="1" t="str">
        <f>("Standard And Poo's Mid Cap 400 Guide")</f>
        <v>Standard And Poo's Mid Cap 400 Guide</v>
      </c>
      <c r="D562" s="1" t="str">
        <f t="shared" si="21"/>
        <v>4F西文書庫 4F Western Language Books</v>
      </c>
      <c r="E562" s="1" t="str">
        <f>("HG4651 S785 2001")</f>
        <v>HG4651 S785 2001</v>
      </c>
    </row>
    <row r="563" spans="2:9" x14ac:dyDescent="0.25">
      <c r="B563" s="1" t="str">
        <f>("W00003187")</f>
        <v>W00003187</v>
      </c>
      <c r="C563" s="1" t="str">
        <f>("Getting started in bonds / ")</f>
        <v xml:space="preserve">Getting started in bonds / </v>
      </c>
      <c r="D563" s="1" t="str">
        <f>("罕用書庫1-洽櫃台填單 Upon-Request Collection1 fil")</f>
        <v>罕用書庫1-洽櫃台填單 Upon-Request Collection1 fil</v>
      </c>
      <c r="E563" s="1" t="str">
        <f>("HG4651 W947 1999 c.3")</f>
        <v>HG4651 W947 1999 c.3</v>
      </c>
      <c r="G563" s="1" t="str">
        <f>("xii, 260 p. : ")</f>
        <v xml:space="preserve">xii, 260 p. : </v>
      </c>
      <c r="H563" s="1" t="str">
        <f>("ill. ; ")</f>
        <v xml:space="preserve">ill. ; </v>
      </c>
      <c r="I563" s="1" t="str">
        <f>("24 cm. ")</f>
        <v xml:space="preserve">24 cm. </v>
      </c>
    </row>
    <row r="564" spans="2:9" x14ac:dyDescent="0.25">
      <c r="B564" s="1" t="str">
        <f>("W00002355")</f>
        <v>W00002355</v>
      </c>
      <c r="C564" s="1" t="str">
        <f>("Stock investing for everyone : tools for investing like the pros / ")</f>
        <v xml:space="preserve">Stock investing for everyone : tools for investing like the pros / </v>
      </c>
      <c r="D564" s="1" t="str">
        <f t="shared" ref="D564:D570" si="22">("4F西文書庫 4F Western Language Books")</f>
        <v>4F西文書庫 4F Western Language Books</v>
      </c>
      <c r="E564" s="1" t="str">
        <f>("HG4661 K45 1999")</f>
        <v>HG4661 K45 1999</v>
      </c>
      <c r="G564" s="1" t="str">
        <f>("xiv, 400 p. : ")</f>
        <v xml:space="preserve">xiv, 400 p. : </v>
      </c>
      <c r="H564" s="1" t="str">
        <f>("ill. ; ")</f>
        <v xml:space="preserve">ill. ; </v>
      </c>
      <c r="I564" s="1" t="str">
        <f>("24 cm. ")</f>
        <v xml:space="preserve">24 cm. </v>
      </c>
    </row>
    <row r="565" spans="2:9" x14ac:dyDescent="0.25">
      <c r="B565" s="1" t="str">
        <f>("W00002037")</f>
        <v>W00002037</v>
      </c>
      <c r="C565" s="1" t="str">
        <f>("Stock workbook11")</f>
        <v>Stock workbook11</v>
      </c>
      <c r="D565" s="1" t="str">
        <f t="shared" si="22"/>
        <v>4F西文書庫 4F Western Language Books</v>
      </c>
      <c r="E565" s="1" t="str">
        <f>("HG4661 S964 1997")</f>
        <v>HG4661 S964 1997</v>
      </c>
    </row>
    <row r="566" spans="2:9" x14ac:dyDescent="0.25">
      <c r="B566" s="1" t="str">
        <f>("W00002089")</f>
        <v>W00002089</v>
      </c>
      <c r="C566" s="1" t="str">
        <f>("The secrets of investing in technology stocks/ ")</f>
        <v xml:space="preserve">The secrets of investing in technology stocks/ </v>
      </c>
      <c r="D566" s="1" t="str">
        <f t="shared" si="22"/>
        <v>4F西文書庫 4F Western Language Books</v>
      </c>
      <c r="E566" s="1" t="str">
        <f>("HG4661 T773 2001")</f>
        <v>HG4661 T773 2001</v>
      </c>
    </row>
    <row r="567" spans="2:9" x14ac:dyDescent="0.25">
      <c r="B567" s="1" t="str">
        <f>("W00003162")</f>
        <v>W00003162</v>
      </c>
      <c r="C567" s="1" t="str">
        <f>("Inside Secrets to venture capital /")</f>
        <v>Inside Secrets to venture capital /</v>
      </c>
      <c r="D567" s="1" t="str">
        <f t="shared" si="22"/>
        <v>4F西文書庫 4F Western Language Books</v>
      </c>
      <c r="E567" s="1" t="str">
        <f>("HG4751 H645 2001")</f>
        <v>HG4751 H645 2001</v>
      </c>
    </row>
    <row r="568" spans="2:9" x14ac:dyDescent="0.25">
      <c r="B568" s="1" t="str">
        <f>("W00002039")</f>
        <v>W00002039</v>
      </c>
      <c r="C568" s="1" t="str">
        <f>("Fundamentals of the bond market /")</f>
        <v>Fundamentals of the bond market /</v>
      </c>
      <c r="D568" s="1" t="str">
        <f t="shared" si="22"/>
        <v>4F西文書庫 4F Western Language Books</v>
      </c>
      <c r="E568" s="1" t="str">
        <f>("HG4910 F148 2000")</f>
        <v>HG4910 F148 2000</v>
      </c>
    </row>
    <row r="569" spans="2:9" x14ac:dyDescent="0.25">
      <c r="B569" s="1" t="str">
        <f>("W00002081")</f>
        <v>W00002081</v>
      </c>
      <c r="C569" s="1" t="str">
        <f>("What works on Wall Street :a guide to the best-performing investment strategies of all time /")</f>
        <v>What works on Wall Street :a guide to the best-performing investment strategies of all time /</v>
      </c>
      <c r="D569" s="1" t="str">
        <f t="shared" si="22"/>
        <v>4F西文書庫 4F Western Language Books</v>
      </c>
      <c r="E569" s="1" t="str">
        <f>("HG4910 O82 1998")</f>
        <v>HG4910 O82 1998</v>
      </c>
    </row>
    <row r="570" spans="2:9" x14ac:dyDescent="0.25">
      <c r="B570" s="1" t="str">
        <f>("W00003185")</f>
        <v>W00003185</v>
      </c>
      <c r="C570" s="1" t="str">
        <f>("Fundamentals of the stock market /")</f>
        <v>Fundamentals of the stock market /</v>
      </c>
      <c r="D570" s="1" t="str">
        <f t="shared" si="22"/>
        <v>4F西文書庫 4F Western Language Books</v>
      </c>
      <c r="E570" s="1" t="str">
        <f>("HG4910 W995 2001")</f>
        <v>HG4910 W995 2001</v>
      </c>
    </row>
    <row r="571" spans="2:9" x14ac:dyDescent="0.25">
      <c r="B571" s="1" t="str">
        <f>("W00003074")</f>
        <v>W00003074</v>
      </c>
      <c r="C571" s="1" t="str">
        <f>("Wizards of Wall Street : ")</f>
        <v xml:space="preserve">Wizards of Wall Street : </v>
      </c>
      <c r="D571" s="1" t="str">
        <f>("罕用書庫1-洽櫃台填單 Upon-Request Collection1 fil")</f>
        <v>罕用書庫1-洽櫃台填單 Upon-Request Collection1 fil</v>
      </c>
      <c r="E571" s="1" t="str">
        <f>("HG4930 K11 2000 c.3")</f>
        <v>HG4930 K11 2000 c.3</v>
      </c>
      <c r="G571" s="1" t="str">
        <f>("viii, 359 p. : ")</f>
        <v xml:space="preserve">viii, 359 p. : </v>
      </c>
      <c r="I571" s="1" t="str">
        <f>("24 cm.")</f>
        <v>24 cm.</v>
      </c>
    </row>
    <row r="572" spans="2:9" x14ac:dyDescent="0.25">
      <c r="B572" s="1" t="str">
        <f>("W00002440")</f>
        <v>W00002440</v>
      </c>
      <c r="C572" s="1" t="str">
        <f>("The art of investment /")</f>
        <v>The art of investment /</v>
      </c>
      <c r="D572" s="1" t="str">
        <f t="shared" ref="D572:D602" si="23">("4F西文書庫 4F Western Language Books")</f>
        <v>4F西文書庫 4F Western Language Books</v>
      </c>
      <c r="E572" s="1" t="str">
        <f>("HG5435 E46 2000")</f>
        <v>HG5435 E46 2000</v>
      </c>
      <c r="G572" s="1" t="str">
        <f>("293 p. :")</f>
        <v>293 p. :</v>
      </c>
      <c r="H572" s="1" t="str">
        <f>("ill. ;")</f>
        <v>ill. ;</v>
      </c>
      <c r="I572" s="1" t="str">
        <f>("22 cm. ")</f>
        <v xml:space="preserve">22 cm. </v>
      </c>
    </row>
    <row r="573" spans="2:9" x14ac:dyDescent="0.25">
      <c r="B573" s="1" t="str">
        <f>("W00002190")</f>
        <v>W00002190</v>
      </c>
      <c r="C573" s="1" t="str">
        <f>("Getting started in emerging markets / ")</f>
        <v xml:space="preserve">Getting started in emerging markets / </v>
      </c>
      <c r="D573" s="1" t="str">
        <f t="shared" si="23"/>
        <v>4F西文書庫 4F Western Language Books</v>
      </c>
      <c r="E573" s="1" t="str">
        <f>("HG5993 P749 2000")</f>
        <v>HG5993 P749 2000</v>
      </c>
    </row>
    <row r="574" spans="2:9" x14ac:dyDescent="0.25">
      <c r="B574" s="1" t="str">
        <f>("W00002058")</f>
        <v>W00002058</v>
      </c>
      <c r="C574" s="1" t="str">
        <f>("Option pricing and portfolio optimization :modern methods of financial mathematics /")</f>
        <v>Option pricing and portfolio optimization :modern methods of financial mathematics /</v>
      </c>
      <c r="D574" s="1" t="str">
        <f t="shared" si="23"/>
        <v>4F西文書庫 4F Western Language Books</v>
      </c>
      <c r="E574" s="1" t="str">
        <f>("HG60.24.A3 K84 2001")</f>
        <v>HG60.24.A3 K84 2001</v>
      </c>
    </row>
    <row r="575" spans="2:9" x14ac:dyDescent="0.25">
      <c r="B575" s="1" t="str">
        <f>("W00002205")</f>
        <v>W00002205</v>
      </c>
      <c r="C575" s="1" t="str">
        <f>("The new options market / ")</f>
        <v xml:space="preserve">The new options market / </v>
      </c>
      <c r="D575" s="1" t="str">
        <f t="shared" si="23"/>
        <v>4F西文書庫 4F Western Language Books</v>
      </c>
      <c r="E575" s="1" t="str">
        <f>("HG6024.A3 A617 2000")</f>
        <v>HG6024.A3 A617 2000</v>
      </c>
    </row>
    <row r="576" spans="2:9" x14ac:dyDescent="0.25">
      <c r="B576" s="1" t="str">
        <f>("W00003072")</f>
        <v>W00003072</v>
      </c>
      <c r="C576" s="1" t="str">
        <f>("Trade options online /")</f>
        <v>Trade options online /</v>
      </c>
      <c r="D576" s="1" t="str">
        <f t="shared" si="23"/>
        <v>4F西文書庫 4F Western Language Books</v>
      </c>
      <c r="E576" s="1" t="str">
        <f>("HG6024.A3 F681 2000")</f>
        <v>HG6024.A3 F681 2000</v>
      </c>
    </row>
    <row r="577" spans="2:9" x14ac:dyDescent="0.25">
      <c r="B577" s="1" t="str">
        <f>("W00002289")</f>
        <v>W00002289</v>
      </c>
      <c r="C577" s="1" t="str">
        <f>("Fundamentals of the futures market /")</f>
        <v>Fundamentals of the futures market /</v>
      </c>
      <c r="D577" s="1" t="str">
        <f t="shared" si="23"/>
        <v>4F西文書庫 4F Western Language Books</v>
      </c>
      <c r="E577" s="1" t="str">
        <f>("HG6024.A3 K65 2001")</f>
        <v>HG6024.A3 K65 2001</v>
      </c>
    </row>
    <row r="578" spans="2:9" x14ac:dyDescent="0.25">
      <c r="B578" s="1" t="str">
        <f>("W00002571")</f>
        <v>W00002571</v>
      </c>
      <c r="C578" s="1" t="str">
        <f>("George Wollsten,expert stock and grain trader,")</f>
        <v>George Wollsten,expert stock and grain trader,</v>
      </c>
      <c r="D578" s="1" t="str">
        <f t="shared" si="23"/>
        <v>4F西文書庫 4F Western Language Books</v>
      </c>
      <c r="E578" s="1" t="str">
        <f>("HG6036 B357 1999")</f>
        <v>HG6036 B357 1999</v>
      </c>
      <c r="G578" s="1" t="str">
        <f>("6 p. l., 234 v. p.")</f>
        <v>6 p. l., 234 v. p.</v>
      </c>
      <c r="H578" s="1" t="str">
        <f>("diagrs. (1 fold.)")</f>
        <v>diagrs. (1 fold.)</v>
      </c>
      <c r="I578" s="1" t="str">
        <f>("22 cm ")</f>
        <v xml:space="preserve">22 cm </v>
      </c>
    </row>
    <row r="579" spans="2:9" x14ac:dyDescent="0.25">
      <c r="B579" s="1" t="str">
        <f>("W00003064")</f>
        <v>W00003064</v>
      </c>
      <c r="C579" s="1" t="str">
        <f>("Real traders, real people :how people like you are making it in the markets /")</f>
        <v>Real traders, real people :how people like you are making it in the markets /</v>
      </c>
      <c r="D579" s="1" t="str">
        <f t="shared" si="23"/>
        <v>4F西文書庫 4F Western Language Books</v>
      </c>
      <c r="E579" s="1" t="str">
        <f>("HG6041 R931 2000")</f>
        <v>HG6041 R931 2000</v>
      </c>
    </row>
    <row r="580" spans="2:9" x14ac:dyDescent="0.25">
      <c r="B580" s="1" t="str">
        <f>("W00002218")</f>
        <v>W00002218</v>
      </c>
      <c r="C580" s="1" t="str">
        <f>("101 investment tools for buying low and selling high / ")</f>
        <v xml:space="preserve">101 investment tools for buying low and selling high / </v>
      </c>
      <c r="D580" s="1" t="str">
        <f t="shared" si="23"/>
        <v>4F西文書庫 4F Western Language Books</v>
      </c>
      <c r="E580" s="1" t="str">
        <f>("HG6041 S555 2001")</f>
        <v>HG6041 S555 2001</v>
      </c>
      <c r="G580" s="1" t="str">
        <f>("273 p. : ")</f>
        <v xml:space="preserve">273 p. : </v>
      </c>
      <c r="H580" s="1" t="str">
        <f>("ill. ; ")</f>
        <v xml:space="preserve">ill. ; </v>
      </c>
      <c r="I580" s="1" t="str">
        <f>("24 cm. ")</f>
        <v xml:space="preserve">24 cm. </v>
      </c>
    </row>
    <row r="581" spans="2:9" x14ac:dyDescent="0.25">
      <c r="B581" s="1" t="str">
        <f>("W00003118")</f>
        <v>W00003118</v>
      </c>
      <c r="C581" s="1" t="str">
        <f>("Stocks for options trading :low-risk, low-stress strategies for selling stock options--profitably /")</f>
        <v>Stocks for options trading :low-risk, low-stress strategies for selling stock options--profitably /</v>
      </c>
      <c r="D581" s="1" t="str">
        <f t="shared" si="23"/>
        <v>4F西文書庫 4F Western Language Books</v>
      </c>
      <c r="E581" s="1" t="str">
        <f>("HG6042 F899 2000")</f>
        <v>HG6042 F899 2000</v>
      </c>
    </row>
    <row r="582" spans="2:9" x14ac:dyDescent="0.25">
      <c r="B582" s="1" t="str">
        <f>("W00002340")</f>
        <v>W00002340</v>
      </c>
      <c r="C582" s="1" t="str">
        <f>("Getting started in options / ")</f>
        <v xml:space="preserve">Getting started in options / </v>
      </c>
      <c r="D582" s="1" t="str">
        <f t="shared" si="23"/>
        <v>4F西文書庫 4F Western Language Books</v>
      </c>
      <c r="E582" s="1" t="str">
        <f>("HG6042 T481 2001")</f>
        <v>HG6042 T481 2001</v>
      </c>
    </row>
    <row r="583" spans="2:9" x14ac:dyDescent="0.25">
      <c r="B583" s="1" t="str">
        <f>("W00002297")</f>
        <v>W00002297</v>
      </c>
      <c r="C583" s="1" t="str">
        <f>("Fundamentals of the options market /")</f>
        <v>Fundamentals of the options market /</v>
      </c>
      <c r="D583" s="1" t="str">
        <f t="shared" si="23"/>
        <v>4F西文書庫 4F Western Language Books</v>
      </c>
      <c r="E583" s="1" t="str">
        <f>("HG6042 W721 2001")</f>
        <v>HG6042 W721 2001</v>
      </c>
    </row>
    <row r="584" spans="2:9" x14ac:dyDescent="0.25">
      <c r="B584" s="1" t="str">
        <f>("W00002484")</f>
        <v>W00002484</v>
      </c>
      <c r="C584" s="1" t="str">
        <f>("Principles of Risk Management and Insurance/")</f>
        <v>Principles of Risk Management and Insurance/</v>
      </c>
      <c r="D584" s="1" t="str">
        <f t="shared" si="23"/>
        <v>4F西文書庫 4F Western Language Books</v>
      </c>
      <c r="E584" s="1" t="str">
        <f>("HG8051 R381 1998")</f>
        <v>HG8051 R381 1998</v>
      </c>
      <c r="G584" s="1" t="str">
        <f>("1 v. (various pagings) :")</f>
        <v>1 v. (various pagings) :</v>
      </c>
      <c r="H584" s="1" t="str">
        <f>("ill. (some col.) ;")</f>
        <v>ill. (some col.) ;</v>
      </c>
      <c r="I584" s="1" t="str">
        <f>("26 cm. ")</f>
        <v xml:space="preserve">26 cm. </v>
      </c>
    </row>
    <row r="585" spans="2:9" x14ac:dyDescent="0.25">
      <c r="B585" s="1" t="str">
        <f>("W00002098")</f>
        <v>W00002098</v>
      </c>
      <c r="C585" s="1" t="str">
        <f>("The UK &amp; the Euro /")</f>
        <v>The UK &amp; the Euro /</v>
      </c>
      <c r="D585" s="1" t="str">
        <f t="shared" si="23"/>
        <v>4F西文書庫 4F Western Language Books</v>
      </c>
      <c r="E585" s="1" t="str">
        <f>("HG939.5 T828 2001")</f>
        <v>HG939.5 T828 2001</v>
      </c>
    </row>
    <row r="586" spans="2:9" x14ac:dyDescent="0.25">
      <c r="B586" s="1" t="str">
        <f>("W00002232")</f>
        <v>W00002232</v>
      </c>
      <c r="C586" s="1" t="str">
        <f>("Social constructionist psychology :a critical analysis of theory and practice / ")</f>
        <v xml:space="preserve">Social constructionist psychology :a critical analysis of theory and practice / </v>
      </c>
      <c r="D586" s="1" t="str">
        <f t="shared" si="23"/>
        <v>4F西文書庫 4F Western Language Books</v>
      </c>
      <c r="E586" s="1" t="str">
        <f>("HM1033 S678 1999")</f>
        <v>HM1033 S678 1999</v>
      </c>
    </row>
    <row r="587" spans="2:9" x14ac:dyDescent="0.25">
      <c r="B587" s="1" t="str">
        <f>("W00002422")</f>
        <v>W00002422</v>
      </c>
      <c r="C587" s="1" t="str">
        <f>("50 ways to create great relationships :how to stop taking and start giving /")</f>
        <v>50 ways to create great relationships :how to stop taking and start giving /</v>
      </c>
      <c r="D587" s="1" t="str">
        <f t="shared" si="23"/>
        <v>4F西文書庫 4F Western Language Books</v>
      </c>
      <c r="E587" s="1" t="str">
        <f>("HM1106 C455 2000")</f>
        <v>HM1106 C455 2000</v>
      </c>
    </row>
    <row r="588" spans="2:9" x14ac:dyDescent="0.25">
      <c r="B588" s="1" t="str">
        <f>("W00002125")</f>
        <v>W00002125</v>
      </c>
      <c r="C588" s="1" t="str">
        <f>("How to manage conflict :turn all conflicts into win-win outcomes /")</f>
        <v>How to manage conflict :turn all conflicts into win-win outcomes /</v>
      </c>
      <c r="D588" s="1" t="str">
        <f t="shared" si="23"/>
        <v>4F西文書庫 4F Western Language Books</v>
      </c>
      <c r="E588" s="1" t="str">
        <f>("HM1126 P596 2000")</f>
        <v>HM1126 P596 2000</v>
      </c>
    </row>
    <row r="589" spans="2:9" x14ac:dyDescent="0.25">
      <c r="B589" s="1" t="str">
        <f>("W00002415")</f>
        <v>W00002415</v>
      </c>
      <c r="C589" s="1" t="str">
        <f>("Resolving conflict :a practical approach /")</f>
        <v>Resolving conflict :a practical approach /</v>
      </c>
      <c r="D589" s="1" t="str">
        <f t="shared" si="23"/>
        <v>4F西文書庫 4F Western Language Books</v>
      </c>
      <c r="E589" s="1" t="str">
        <f>("HM1126 T576 1999")</f>
        <v>HM1126 T576 1999</v>
      </c>
    </row>
    <row r="590" spans="2:9" x14ac:dyDescent="0.25">
      <c r="B590" s="1" t="str">
        <f>("W00003116")</f>
        <v>W00003116</v>
      </c>
      <c r="C590" s="1" t="str">
        <f>("Planning and managing public relations campaigns /")</f>
        <v>Planning and managing public relations campaigns /</v>
      </c>
      <c r="D590" s="1" t="str">
        <f t="shared" si="23"/>
        <v>4F西文書庫 4F Western Language Books</v>
      </c>
      <c r="E590" s="1" t="str">
        <f>("HM1221 G822 2000")</f>
        <v>HM1221 G822 2000</v>
      </c>
    </row>
    <row r="591" spans="2:9" x14ac:dyDescent="0.25">
      <c r="B591" s="1" t="str">
        <f>("W00003201")</f>
        <v>W00003201</v>
      </c>
      <c r="C591" s="1" t="str">
        <f>("Winning PR in the wired world :powerful communications strategies for the noisy digital space /")</f>
        <v>Winning PR in the wired world :powerful communications strategies for the noisy digital space /</v>
      </c>
      <c r="D591" s="1" t="str">
        <f t="shared" si="23"/>
        <v>4F西文書庫 4F Western Language Books</v>
      </c>
      <c r="E591" s="1" t="str">
        <f>("HM1221 M627 2001")</f>
        <v>HM1221 M627 2001</v>
      </c>
    </row>
    <row r="592" spans="2:9" x14ac:dyDescent="0.25">
      <c r="B592" s="1" t="str">
        <f>("W00003190")</f>
        <v>W00003190</v>
      </c>
      <c r="C592" s="1" t="str">
        <f>("Leader to leader :enduring insights on leadership from the Drucker Foundation's award-winning journal /")</f>
        <v>Leader to leader :enduring insights on leadership from the Drucker Foundation's award-winning journal /</v>
      </c>
      <c r="D592" s="1" t="str">
        <f t="shared" si="23"/>
        <v>4F西文書庫 4F Western Language Books</v>
      </c>
      <c r="E592" s="1" t="str">
        <f>("HM141 L434 1999")</f>
        <v>HM141 L434 1999</v>
      </c>
    </row>
    <row r="593" spans="2:9" x14ac:dyDescent="0.25">
      <c r="B593" s="1" t="str">
        <f>("W00002352")</f>
        <v>W00002352</v>
      </c>
      <c r="C593" s="1" t="str">
        <f>("Social and political philosophy : classical Western texts in feminist and multicultural perspectives / ")</f>
        <v xml:space="preserve">Social and political philosophy : classical Western texts in feminist and multicultural perspectives / </v>
      </c>
      <c r="D593" s="1" t="str">
        <f t="shared" si="23"/>
        <v>4F西文書庫 4F Western Language Books</v>
      </c>
      <c r="E593" s="1" t="str">
        <f>("HM216 S838 1998")</f>
        <v>HM216 S838 1998</v>
      </c>
    </row>
    <row r="594" spans="2:9" x14ac:dyDescent="0.25">
      <c r="B594" s="1" t="str">
        <f>("W00002429")</f>
        <v>W00002429</v>
      </c>
      <c r="C594" s="1" t="str">
        <f>("Making a world of difference :IT in a global context /")</f>
        <v>Making a world of difference :IT in a global context /</v>
      </c>
      <c r="D594" s="1" t="str">
        <f t="shared" si="23"/>
        <v>4F西文書庫 4F Western Language Books</v>
      </c>
      <c r="E594" s="1" t="str">
        <f>("HM221 W223 2001")</f>
        <v>HM221 W223 2001</v>
      </c>
    </row>
    <row r="595" spans="2:9" x14ac:dyDescent="0.25">
      <c r="B595" s="1" t="str">
        <f>("W00002296")</f>
        <v>W00002296</v>
      </c>
      <c r="C595" s="1" t="str">
        <f>("Sociology in our times /")</f>
        <v>Sociology in our times /</v>
      </c>
      <c r="D595" s="1" t="str">
        <f t="shared" si="23"/>
        <v>4F西文書庫 4F Western Language Books</v>
      </c>
      <c r="E595" s="1" t="str">
        <f>("HM48 N532 1996")</f>
        <v>HM48 N532 1996</v>
      </c>
    </row>
    <row r="596" spans="2:9" x14ac:dyDescent="0.25">
      <c r="B596" s="1" t="str">
        <f>("W00002173")</f>
        <v>W00002173</v>
      </c>
      <c r="C596" s="1" t="str">
        <f>("Sociology :a global perspective /")</f>
        <v>Sociology :a global perspective /</v>
      </c>
      <c r="D596" s="1" t="str">
        <f t="shared" si="23"/>
        <v>4F西文書庫 4F Western Language Books</v>
      </c>
      <c r="E596" s="1" t="str">
        <f>("HM51 F373 1998")</f>
        <v>HM51 F373 1998</v>
      </c>
    </row>
    <row r="597" spans="2:9" x14ac:dyDescent="0.25">
      <c r="B597" s="1" t="str">
        <f>("W00002294")</f>
        <v>W00002294</v>
      </c>
      <c r="C597" s="1" t="str">
        <f>("Sociology.net :sociology on the Internet /")</f>
        <v>Sociology.net :sociology on the Internet /</v>
      </c>
      <c r="D597" s="1" t="str">
        <f t="shared" si="23"/>
        <v>4F西文書庫 4F Western Language Books</v>
      </c>
      <c r="E597" s="1" t="str">
        <f>("HM51 F373-2 1997")</f>
        <v>HM51 F373-2 1997</v>
      </c>
    </row>
    <row r="598" spans="2:9" x14ac:dyDescent="0.25">
      <c r="B598" s="1" t="str">
        <f>("W00002157")</f>
        <v>W00002157</v>
      </c>
      <c r="C598" s="1" t="str">
        <f>("Sociology in our times : the essentials / ")</f>
        <v xml:space="preserve">Sociology in our times : the essentials / </v>
      </c>
      <c r="D598" s="1" t="str">
        <f t="shared" si="23"/>
        <v>4F西文書庫 4F Western Language Books</v>
      </c>
      <c r="E598" s="1" t="str">
        <f>("HM51 K33 1998")</f>
        <v>HM51 K33 1998</v>
      </c>
    </row>
    <row r="599" spans="2:9" x14ac:dyDescent="0.25">
      <c r="B599" s="1" t="str">
        <f>("W00002134")</f>
        <v>W00002134</v>
      </c>
      <c r="C599" s="1" t="str">
        <f>("Working across cultures :applications and exercises /")</f>
        <v>Working across cultures :applications and exercises /</v>
      </c>
      <c r="D599" s="1" t="str">
        <f t="shared" si="23"/>
        <v>4F西文書庫 4F Western Language Books</v>
      </c>
      <c r="E599" s="1" t="str">
        <f>("HM623 G198 2001")</f>
        <v>HM623 G198 2001</v>
      </c>
    </row>
    <row r="600" spans="2:9" x14ac:dyDescent="0.25">
      <c r="B600" s="1" t="str">
        <f>("W00002214")</f>
        <v>W00002214</v>
      </c>
      <c r="C600" s="1" t="str">
        <f>("Organizing &amp; organizations : an introduction / ")</f>
        <v xml:space="preserve">Organizing &amp; organizations : an introduction / </v>
      </c>
      <c r="D600" s="1" t="str">
        <f t="shared" si="23"/>
        <v>4F西文書庫 4F Western Language Books</v>
      </c>
      <c r="E600" s="1" t="str">
        <f>("HM786 G118 2000")</f>
        <v>HM786 G118 2000</v>
      </c>
    </row>
    <row r="601" spans="2:9" x14ac:dyDescent="0.25">
      <c r="B601" s="1" t="str">
        <f>("W00002425")</f>
        <v>W00002425</v>
      </c>
      <c r="C601" s="1" t="str">
        <f>("Institutions and organizations /")</f>
        <v>Institutions and organizations /</v>
      </c>
      <c r="D601" s="1" t="str">
        <f t="shared" si="23"/>
        <v>4F西文書庫 4F Western Language Books</v>
      </c>
      <c r="E601" s="1" t="str">
        <f>("HM786 S425 2001")</f>
        <v>HM786 S425 2001</v>
      </c>
    </row>
    <row r="602" spans="2:9" x14ac:dyDescent="0.25">
      <c r="B602" s="1" t="str">
        <f>("W00002271")</f>
        <v>W00002271</v>
      </c>
      <c r="C602" s="1" t="str">
        <f>("Netslaves :true tales of working the Web /")</f>
        <v>Netslaves :true tales of working the Web /</v>
      </c>
      <c r="D602" s="1" t="str">
        <f t="shared" si="23"/>
        <v>4F西文書庫 4F Western Language Books</v>
      </c>
      <c r="E602" s="1" t="str">
        <f>("HM851 L638 2000")</f>
        <v>HM851 L638 2000</v>
      </c>
    </row>
    <row r="603" spans="2:9" x14ac:dyDescent="0.25">
      <c r="B603" s="1" t="str">
        <f>("W00002257")</f>
        <v>W00002257</v>
      </c>
      <c r="C603" s="1" t="str">
        <f>("Social Europe ")</f>
        <v xml:space="preserve">Social Europe </v>
      </c>
      <c r="D603" s="1" t="str">
        <f>("罕用書庫1-洽櫃台填單 Upon-Request Collection1 fil")</f>
        <v>罕用書庫1-洽櫃台填單 Upon-Request Collection1 fil</v>
      </c>
      <c r="E603" s="1" t="str">
        <f>("HN373.5 S678 1998")</f>
        <v>HN373.5 S678 1998</v>
      </c>
      <c r="G603" s="1" t="str">
        <f>("xv, 280 p. :")</f>
        <v>xv, 280 p. :</v>
      </c>
      <c r="H603" s="1" t="str">
        <f>("ill. ;")</f>
        <v>ill. ;</v>
      </c>
      <c r="I603" s="1" t="str">
        <f>("22 cm.")</f>
        <v>22 cm.</v>
      </c>
    </row>
    <row r="604" spans="2:9" x14ac:dyDescent="0.25">
      <c r="B604" s="1" t="str">
        <f>("W00002264")</f>
        <v>W00002264</v>
      </c>
      <c r="C604" s="1" t="str">
        <f>("The girls' guide to power and success / ")</f>
        <v xml:space="preserve">The girls' guide to power and success / </v>
      </c>
      <c r="D604" s="1" t="str">
        <f t="shared" ref="D604:D609" si="24">("4F西文書庫 4F Western Language Books")</f>
        <v>4F西文書庫 4F Western Language Books</v>
      </c>
      <c r="E604" s="1" t="str">
        <f>("HQ1421 S689 2001")</f>
        <v>HQ1421 S689 2001</v>
      </c>
    </row>
    <row r="605" spans="2:9" x14ac:dyDescent="0.25">
      <c r="B605" s="1" t="str">
        <f>("W00003174")</f>
        <v>W00003174</v>
      </c>
      <c r="C605" s="1" t="str">
        <f>("The average family's guide to financial freedom /")</f>
        <v>The average family's guide to financial freedom /</v>
      </c>
      <c r="D605" s="1" t="str">
        <f t="shared" si="24"/>
        <v>4F西文書庫 4F Western Language Books</v>
      </c>
      <c r="E605" s="1" t="str">
        <f>("HQ518 T668 2000")</f>
        <v>HQ518 T668 2000</v>
      </c>
      <c r="G605" s="1" t="str">
        <f>("x, 246 p. :")</f>
        <v>x, 246 p. :</v>
      </c>
      <c r="H605" s="1" t="str">
        <f>("ill. ;")</f>
        <v>ill. ;</v>
      </c>
      <c r="I605" s="1" t="str">
        <f>("24 cm.")</f>
        <v>24 cm.</v>
      </c>
    </row>
    <row r="606" spans="2:9" x14ac:dyDescent="0.25">
      <c r="B606" s="1" t="str">
        <f>("W00002192")</f>
        <v>W00002192</v>
      </c>
      <c r="C606" s="1" t="str">
        <f>("The problem of abortion /")</f>
        <v>The problem of abortion /</v>
      </c>
      <c r="D606" s="1" t="str">
        <f t="shared" si="24"/>
        <v>4F西文書庫 4F Western Language Books</v>
      </c>
      <c r="E606" s="1" t="str">
        <f>("HQ767.5.N5 D993 1997")</f>
        <v>HQ767.5.N5 D993 1997</v>
      </c>
    </row>
    <row r="607" spans="2:9" x14ac:dyDescent="0.25">
      <c r="B607" s="1" t="str">
        <f>("W00002347")</f>
        <v>W00002347</v>
      </c>
      <c r="C607" s="1" t="str">
        <f>("Research methods for generalist social work /")</f>
        <v>Research methods for generalist social work /</v>
      </c>
      <c r="D607" s="1" t="str">
        <f t="shared" si="24"/>
        <v>4F西文書庫 4F Western Language Books</v>
      </c>
      <c r="E607" s="1" t="str">
        <f>("HV11 M349 1998")</f>
        <v>HV11 M349 1998</v>
      </c>
    </row>
    <row r="608" spans="2:9" x14ac:dyDescent="0.25">
      <c r="B608" s="1" t="str">
        <f>("W00003165")</f>
        <v>W00003165</v>
      </c>
      <c r="C608" s="1" t="str">
        <f>("Marketing for the voluntary sector :a guide to measuring marketing performance /")</f>
        <v>Marketing for the voluntary sector :a guide to measuring marketing performance /</v>
      </c>
      <c r="D608" s="1" t="str">
        <f t="shared" si="24"/>
        <v>4F西文書庫 4F Western Language Books</v>
      </c>
      <c r="E608" s="1" t="str">
        <f>("HV245 M345 2001")</f>
        <v>HV245 M345 2001</v>
      </c>
    </row>
    <row r="609" spans="2:9" x14ac:dyDescent="0.25">
      <c r="B609" s="1" t="str">
        <f>("W00002254")</f>
        <v>W00002254</v>
      </c>
      <c r="C609" s="1" t="str">
        <f>("Counselling skills in social work practice /")</f>
        <v>Counselling skills in social work practice /</v>
      </c>
      <c r="D609" s="1" t="str">
        <f t="shared" si="24"/>
        <v>4F西文書庫 4F Western Language Books</v>
      </c>
      <c r="E609" s="1" t="str">
        <f>("HV245 S447 1999")</f>
        <v>HV245 S447 1999</v>
      </c>
    </row>
    <row r="610" spans="2:9" x14ac:dyDescent="0.25">
      <c r="B610" s="1" t="str">
        <f>("W00002151")</f>
        <v>W00002151</v>
      </c>
      <c r="C610" s="1" t="str">
        <f>("Social work practice &amp; people of color : a process-stage approach / ")</f>
        <v xml:space="preserve">Social work practice &amp; people of color : a process-stage approach / </v>
      </c>
      <c r="D610" s="1" t="str">
        <f>("罕用書庫1-洽櫃台填單 Upon-Request Collection1 fil")</f>
        <v>罕用書庫1-洽櫃台填單 Upon-Request Collection1 fil</v>
      </c>
      <c r="E610" s="1" t="str">
        <f>("HV3176 L957 1996")</f>
        <v>HV3176 L957 1996</v>
      </c>
      <c r="G610" s="1" t="str">
        <f>("xix, 304 p. : ")</f>
        <v xml:space="preserve">xix, 304 p. : </v>
      </c>
      <c r="H610" s="1" t="str">
        <f>("ill. ; ")</f>
        <v xml:space="preserve">ill. ; </v>
      </c>
      <c r="I610" s="1" t="str">
        <f>("24 cm. ")</f>
        <v xml:space="preserve">24 cm. </v>
      </c>
    </row>
    <row r="611" spans="2:9" x14ac:dyDescent="0.25">
      <c r="B611" s="1" t="str">
        <f>("W00002248")</f>
        <v>W00002248</v>
      </c>
      <c r="C611" s="1" t="str">
        <f>("Mastering organisational behaviour: /")</f>
        <v>Mastering organisational behaviour: /</v>
      </c>
      <c r="D611" s="1" t="str">
        <f>("罕用書庫1-洽櫃台填單 Upon-Request Collection1 fil")</f>
        <v>罕用書庫1-洽櫃台填單 Upon-Request Collection1 fil</v>
      </c>
      <c r="E611" s="1" t="str">
        <f>("HV43 P511 2001")</f>
        <v>HV43 P511 2001</v>
      </c>
      <c r="G611" s="1" t="str">
        <f>("246 p.:")</f>
        <v>246 p.:</v>
      </c>
      <c r="H611" s="1" t="str">
        <f>("ill. ;")</f>
        <v>ill. ;</v>
      </c>
      <c r="I611" s="1" t="str">
        <f>("24cm.")</f>
        <v>24cm.</v>
      </c>
    </row>
    <row r="612" spans="2:9" x14ac:dyDescent="0.25">
      <c r="B612" s="1" t="str">
        <f>("W00002263")</f>
        <v>W00002263</v>
      </c>
      <c r="C612" s="1" t="str">
        <f>("Social worker and psychotropic medication:toward effective collaboration with mental health clients,families,and providers/")</f>
        <v>Social worker and psychotropic medication:toward effective collaboration with mental health clients,families,and providers/</v>
      </c>
      <c r="D612" s="1" t="str">
        <f t="shared" ref="D612:D648" si="25">("4F西文書庫 4F Western Language Books")</f>
        <v>4F西文書庫 4F Western Language Books</v>
      </c>
      <c r="E612" s="1" t="str">
        <f>("HV689 B477 1996")</f>
        <v>HV689 B477 1996</v>
      </c>
    </row>
    <row r="613" spans="2:9" x14ac:dyDescent="0.25">
      <c r="B613" s="1" t="str">
        <f>("W00002185")</f>
        <v>W00002185</v>
      </c>
      <c r="C613" s="1" t="str">
        <f>("Social work practice with groups :a clinical perspective /")</f>
        <v>Social work practice with groups :a clinical perspective /</v>
      </c>
      <c r="D613" s="1" t="str">
        <f t="shared" si="25"/>
        <v>4F西文書庫 4F Western Language Books</v>
      </c>
      <c r="E613" s="1" t="str">
        <f>("HV689 R353 1997")</f>
        <v>HV689 R353 1997</v>
      </c>
    </row>
    <row r="614" spans="2:9" x14ac:dyDescent="0.25">
      <c r="B614" s="1" t="str">
        <f>("W00002071")</f>
        <v>W00002071</v>
      </c>
      <c r="C614" s="1" t="str">
        <f>("Dirty dealing :the untold truth about global money laundering /")</f>
        <v>Dirty dealing :the untold truth about global money laundering /</v>
      </c>
      <c r="D614" s="1" t="str">
        <f t="shared" si="25"/>
        <v>4F西文書庫 4F Western Language Books</v>
      </c>
      <c r="E614" s="1" t="str">
        <f>("HV8079.M64 L729 2000")</f>
        <v>HV8079.M64 L729 2000</v>
      </c>
    </row>
    <row r="615" spans="2:9" x14ac:dyDescent="0.25">
      <c r="B615" s="1" t="str">
        <f>("W00002320")</f>
        <v>W00002320</v>
      </c>
      <c r="C615" s="1" t="str">
        <f>("Globalization :a critical introduction /")</f>
        <v>Globalization :a critical introduction /</v>
      </c>
      <c r="D615" s="1" t="str">
        <f t="shared" si="25"/>
        <v>4F西文書庫 4F Western Language Books</v>
      </c>
      <c r="E615" s="1" t="str">
        <f>("JZ1318 S368 2000")</f>
        <v>JZ1318 S368 2000</v>
      </c>
    </row>
    <row r="616" spans="2:9" x14ac:dyDescent="0.25">
      <c r="B616" s="1" t="str">
        <f>("W00002299")</f>
        <v>W00002299</v>
      </c>
      <c r="C616" s="1" t="str">
        <f>("Liability issues in perinatal nursing /")</f>
        <v>Liability issues in perinatal nursing /</v>
      </c>
      <c r="D616" s="1" t="str">
        <f t="shared" si="25"/>
        <v>4F西文書庫 4F Western Language Books</v>
      </c>
      <c r="E616" s="1" t="str">
        <f>("KF2915.N83 R839 1999")</f>
        <v>KF2915.N83 R839 1999</v>
      </c>
    </row>
    <row r="617" spans="2:9" x14ac:dyDescent="0.25">
      <c r="B617" s="1" t="str">
        <f>("W00002282")</f>
        <v>W00002282</v>
      </c>
      <c r="C617" s="1" t="str">
        <f>("Protecting your company's intellectual property :a practical guide to trademarks, copyrights, patents &amp; trade secrets /")</f>
        <v>Protecting your company's intellectual property :a practical guide to trademarks, copyrights, patents &amp; trade secrets /</v>
      </c>
      <c r="D617" s="1" t="str">
        <f t="shared" si="25"/>
        <v>4F西文書庫 4F Western Language Books</v>
      </c>
      <c r="E617" s="1" t="str">
        <f>("KF2980 B755 2001")</f>
        <v>KF2980 B755 2001</v>
      </c>
    </row>
    <row r="618" spans="2:9" x14ac:dyDescent="0.25">
      <c r="B618" s="1" t="str">
        <f>("W00002327")</f>
        <v>W00002327</v>
      </c>
      <c r="C618" s="1" t="str">
        <f>("Internet ethics")</f>
        <v>Internet ethics</v>
      </c>
      <c r="D618" s="1" t="str">
        <f t="shared" si="25"/>
        <v>4F西文書庫 4F Western Language Books</v>
      </c>
      <c r="E618" s="1" t="str">
        <f>("KF390.5 D912 2000")</f>
        <v>KF390.5 D912 2000</v>
      </c>
    </row>
    <row r="619" spans="2:9" x14ac:dyDescent="0.25">
      <c r="B619" s="1" t="str">
        <f>("W00003120")</f>
        <v>W00003120</v>
      </c>
      <c r="C619" s="1" t="str">
        <f>("Taxes for busy people :the book to use when there's no time to lose! /")</f>
        <v>Taxes for busy people :the book to use when there's no time to lose! /</v>
      </c>
      <c r="D619" s="1" t="str">
        <f t="shared" si="25"/>
        <v>4F西文書庫 4F Western Language Books</v>
      </c>
      <c r="E619" s="1" t="str">
        <f>("KF6297.Z9 C773 1998")</f>
        <v>KF6297.Z9 C773 1998</v>
      </c>
    </row>
    <row r="620" spans="2:9" x14ac:dyDescent="0.25">
      <c r="B620" s="1" t="str">
        <f>("W00003049")</f>
        <v>W00003049</v>
      </c>
      <c r="C620" s="1" t="str">
        <f>("J.K. Lasser pro estate and business succession planning :a legal guide to wealth transfer /")</f>
        <v>J.K. Lasser pro estate and business succession planning :a legal guide to wealth transfer /</v>
      </c>
      <c r="D620" s="1" t="str">
        <f t="shared" si="25"/>
        <v>4F西文書庫 4F Western Language Books</v>
      </c>
      <c r="E620" s="1" t="str">
        <f>("KF750 F537 2001")</f>
        <v>KF750 F537 2001</v>
      </c>
    </row>
    <row r="621" spans="2:9" x14ac:dyDescent="0.25">
      <c r="B621" s="1" t="str">
        <f>("W00003134")</f>
        <v>W00003134</v>
      </c>
      <c r="C621" s="1" t="str">
        <f>("How to administer an estate :a step-by-step guide for families and friends /")</f>
        <v>How to administer an estate :a step-by-step guide for families and friends /</v>
      </c>
      <c r="D621" s="1" t="str">
        <f t="shared" si="25"/>
        <v>4F西文書庫 4F Western Language Books</v>
      </c>
      <c r="E621" s="1" t="str">
        <f>("KF778.Z9 C555 2001")</f>
        <v>KF778.Z9 C555 2001</v>
      </c>
    </row>
    <row r="622" spans="2:9" x14ac:dyDescent="0.25">
      <c r="B622" s="1" t="str">
        <f>("W00002247")</f>
        <v>W00002247</v>
      </c>
      <c r="C622" s="1" t="str">
        <f>("Get your degree online /")</f>
        <v>Get your degree online /</v>
      </c>
      <c r="D622" s="1" t="str">
        <f t="shared" si="25"/>
        <v>4F西文書庫 4F Western Language Books</v>
      </c>
      <c r="E622" s="1" t="str">
        <f>("L901 H478 2000")</f>
        <v>L901 H478 2000</v>
      </c>
    </row>
    <row r="623" spans="2:9" x14ac:dyDescent="0.25">
      <c r="B623" s="1" t="str">
        <f>("W00002150")</f>
        <v>W00002150</v>
      </c>
      <c r="C623" s="1" t="str">
        <f>("Thoughtful teachers, thoughtful schools : issues and insights in education today / ")</f>
        <v xml:space="preserve">Thoughtful teachers, thoughtful schools : issues and insights in education today / </v>
      </c>
      <c r="D623" s="1" t="str">
        <f t="shared" si="25"/>
        <v>4F西文書庫 4F Western Language Books</v>
      </c>
      <c r="E623" s="1" t="str">
        <f>("LA217.2 T524 1998")</f>
        <v>LA217.2 T524 1998</v>
      </c>
    </row>
    <row r="624" spans="2:9" x14ac:dyDescent="0.25">
      <c r="B624" s="1" t="str">
        <f>("W00002330")</f>
        <v>W00002330</v>
      </c>
      <c r="C624" s="1" t="str">
        <f>("Action research :a guide for the teacher researcher /")</f>
        <v>Action research :a guide for the teacher researcher /</v>
      </c>
      <c r="D624" s="1" t="str">
        <f t="shared" si="25"/>
        <v>4F西文書庫 4F Western Language Books</v>
      </c>
      <c r="E624" s="1" t="str">
        <f>("LB1028.24 M657 2000")</f>
        <v>LB1028.24 M657 2000</v>
      </c>
    </row>
    <row r="625" spans="2:5" x14ac:dyDescent="0.25">
      <c r="B625" s="1" t="str">
        <f>("W00003216")</f>
        <v>W00003216</v>
      </c>
      <c r="C625" s="1" t="str">
        <f>("Teaching &amp; learning onlinenew pedagogies for new technologies /")</f>
        <v>Teaching &amp; learning onlinenew pedagogies for new technologies /</v>
      </c>
      <c r="D625" s="1" t="str">
        <f t="shared" si="25"/>
        <v>4F西文書庫 4F Western Language Books</v>
      </c>
      <c r="E625" s="1" t="str">
        <f>("LB1028.5 T253 2001")</f>
        <v>LB1028.5 T253 2001</v>
      </c>
    </row>
    <row r="626" spans="2:5" x14ac:dyDescent="0.25">
      <c r="B626" s="1" t="str">
        <f>("W00003224")</f>
        <v>W00003224</v>
      </c>
      <c r="C626" s="1" t="str">
        <f>("The online learning handbookdeveloping and using web-based learning /")</f>
        <v>The online learning handbookdeveloping and using web-based learning /</v>
      </c>
      <c r="D626" s="1" t="str">
        <f t="shared" si="25"/>
        <v>4F西文書庫 4F Western Language Books</v>
      </c>
      <c r="E626" s="1" t="str">
        <f>("LB1044.87 J75 2001")</f>
        <v>LB1044.87 J75 2001</v>
      </c>
    </row>
    <row r="627" spans="2:5" x14ac:dyDescent="0.25">
      <c r="B627" s="1" t="str">
        <f>("W00002176")</f>
        <v>W00002176</v>
      </c>
      <c r="C627" s="1" t="str">
        <f>("無題名51")</f>
        <v>無題名51</v>
      </c>
      <c r="D627" s="1" t="str">
        <f t="shared" si="25"/>
        <v>4F西文書庫 4F Western Language Books</v>
      </c>
      <c r="E627" s="1" t="str">
        <f>("LB1050.5 R224 1996")</f>
        <v>LB1050.5 R224 1996</v>
      </c>
    </row>
    <row r="628" spans="2:5" x14ac:dyDescent="0.25">
      <c r="B628" s="1" t="str">
        <f>("W00002174")</f>
        <v>W00002174</v>
      </c>
      <c r="C628" s="1" t="str">
        <f>("Effective reading strategies : teaching children who find reading difficult / ")</f>
        <v xml:space="preserve">Effective reading strategies : teaching children who find reading difficult / </v>
      </c>
      <c r="D628" s="1" t="str">
        <f t="shared" si="25"/>
        <v>4F西文書庫 4F Western Language Books</v>
      </c>
      <c r="E628" s="1" t="str">
        <f>("LB1050.5 R224-2 2000")</f>
        <v>LB1050.5 R224-2 2000</v>
      </c>
    </row>
    <row r="629" spans="2:5" x14ac:dyDescent="0.25">
      <c r="B629" s="1" t="str">
        <f>("W00002255")</f>
        <v>W00002255</v>
      </c>
      <c r="C629" s="1" t="str">
        <f>("The age of learning :education and the knowledge society/")</f>
        <v>The age of learning :education and the knowledge society/</v>
      </c>
      <c r="D629" s="1" t="str">
        <f t="shared" si="25"/>
        <v>4F西文書庫 4F Western Language Books</v>
      </c>
      <c r="E629" s="1" t="str">
        <f>("LB1060 J38 2001")</f>
        <v>LB1060 J38 2001</v>
      </c>
    </row>
    <row r="630" spans="2:5" x14ac:dyDescent="0.25">
      <c r="B630" s="1" t="str">
        <f>("W00002292")</f>
        <v>W00002292</v>
      </c>
      <c r="C630" s="1" t="str">
        <f>("Learning about learning :resources for supporting effective learning /")</f>
        <v>Learning about learning :resources for supporting effective learning /</v>
      </c>
      <c r="D630" s="1" t="str">
        <f t="shared" si="25"/>
        <v>4F西文書庫 4F Western Language Books</v>
      </c>
      <c r="E630" s="1" t="str">
        <f>("LB1060 W336 2000")</f>
        <v>LB1060 W336 2000</v>
      </c>
    </row>
    <row r="631" spans="2:5" x14ac:dyDescent="0.25">
      <c r="B631" s="1" t="str">
        <f>("W00002222")</f>
        <v>W00002222</v>
      </c>
      <c r="C631" s="1" t="str">
        <f>("The interactive tutorial an activity parade/ ")</f>
        <v xml:space="preserve">The interactive tutorial an activity parade/ </v>
      </c>
      <c r="D631" s="1" t="str">
        <f t="shared" si="25"/>
        <v>4F西文書庫 4F Western Language Books</v>
      </c>
      <c r="E631" s="1" t="str">
        <f>("LB1139 S215 1998")</f>
        <v>LB1139 S215 1998</v>
      </c>
    </row>
    <row r="632" spans="2:5" x14ac:dyDescent="0.25">
      <c r="B632" s="1" t="str">
        <f>("W00002223")</f>
        <v>W00002223</v>
      </c>
      <c r="C632" s="1" t="str">
        <f>("Intermediate language practice/ ")</f>
        <v xml:space="preserve">Intermediate language practice/ </v>
      </c>
      <c r="D632" s="1" t="str">
        <f t="shared" si="25"/>
        <v>4F西文書庫 4F Western Language Books</v>
      </c>
      <c r="E632" s="1" t="str">
        <f>("LB1139.L3 V768 1998")</f>
        <v>LB1139.L3 V768 1998</v>
      </c>
    </row>
    <row r="633" spans="2:5" x14ac:dyDescent="0.25">
      <c r="B633" s="1" t="str">
        <f>("W00002348")</f>
        <v>W00002348</v>
      </c>
      <c r="C633" s="1" t="str">
        <f>("Social studies :applications for a new century /")</f>
        <v>Social studies :applications for a new century /</v>
      </c>
      <c r="D633" s="1" t="str">
        <f t="shared" si="25"/>
        <v>4F西文書庫 4F Western Language Books</v>
      </c>
      <c r="E633" s="1" t="str">
        <f>("LB1584 P295 1996")</f>
        <v>LB1584 P295 1996</v>
      </c>
    </row>
    <row r="634" spans="2:5" x14ac:dyDescent="0.25">
      <c r="B634" s="1" t="str">
        <f>("W00002990")</f>
        <v>W00002990</v>
      </c>
      <c r="C634" s="1" t="str">
        <f>("how to Teach English: An introduction to the practice of English language teaching/ ")</f>
        <v xml:space="preserve">how to Teach English: An introduction to the practice of English language teaching/ </v>
      </c>
      <c r="D634" s="1" t="str">
        <f t="shared" si="25"/>
        <v>4F西文書庫 4F Western Language Books</v>
      </c>
      <c r="E634" s="1" t="str">
        <f>("LB1631 H287 2000")</f>
        <v>LB1631 H287 2000</v>
      </c>
    </row>
    <row r="635" spans="2:5" x14ac:dyDescent="0.25">
      <c r="B635" s="1" t="str">
        <f>("W00002202")</f>
        <v>W00002202</v>
      </c>
      <c r="C635" s="1" t="str">
        <f>("Company to company: a communicative approach to business correspondence in english/ ")</f>
        <v xml:space="preserve">Company to company: a communicative approach to business correspondence in english/ </v>
      </c>
      <c r="D635" s="1" t="str">
        <f t="shared" si="25"/>
        <v>4F西文書庫 4F Western Language Books</v>
      </c>
      <c r="E635" s="1" t="str">
        <f>("LB1775 L779 2000")</f>
        <v>LB1775 L779 2000</v>
      </c>
    </row>
    <row r="636" spans="2:5" x14ac:dyDescent="0.25">
      <c r="B636" s="1" t="str">
        <f>("W00002227")</f>
        <v>W00002227</v>
      </c>
      <c r="C636" s="1" t="str">
        <f>("Company to company: a communicative approach to business correspondence in english/ ")</f>
        <v xml:space="preserve">Company to company: a communicative approach to business correspondence in english/ </v>
      </c>
      <c r="D636" s="1" t="str">
        <f t="shared" si="25"/>
        <v>4F西文書庫 4F Western Language Books</v>
      </c>
      <c r="E636" s="1" t="str">
        <f>("LB1775 L779-2 2000")</f>
        <v>LB1775 L779-2 2000</v>
      </c>
    </row>
    <row r="637" spans="2:5" x14ac:dyDescent="0.25">
      <c r="B637" s="1" t="str">
        <f>("W00002230")</f>
        <v>W00002230</v>
      </c>
      <c r="C637" s="1" t="str">
        <f>("Teaching in America :the slow revolution /")</f>
        <v>Teaching in America :the slow revolution /</v>
      </c>
      <c r="D637" s="1" t="str">
        <f t="shared" si="25"/>
        <v>4F西文書庫 4F Western Language Books</v>
      </c>
      <c r="E637" s="1" t="str">
        <f>("LB1775.2 G761 1999")</f>
        <v>LB1775.2 G761 1999</v>
      </c>
    </row>
    <row r="638" spans="2:5" x14ac:dyDescent="0.25">
      <c r="B638" s="1" t="str">
        <f>("W00002387")</f>
        <v>W00002387</v>
      </c>
      <c r="C638" s="1" t="str">
        <f>("Last minute college financing : it's never too late to plan for the future / ")</f>
        <v xml:space="preserve">Last minute college financing : it's never too late to plan for the future / </v>
      </c>
      <c r="D638" s="1" t="str">
        <f t="shared" si="25"/>
        <v>4F西文書庫 4F Western Language Books</v>
      </c>
      <c r="E638" s="1" t="str">
        <f>("LB2337.4 C345 2000")</f>
        <v>LB2337.4 C345 2000</v>
      </c>
    </row>
    <row r="639" spans="2:5" x14ac:dyDescent="0.25">
      <c r="B639" s="1" t="str">
        <f>("W00002307")</f>
        <v>W00002307</v>
      </c>
      <c r="C639" s="1" t="str">
        <f>("Kids killing kids :managing violence and gangs in schools /")</f>
        <v>Kids killing kids :managing violence and gangs in schools /</v>
      </c>
      <c r="D639" s="1" t="str">
        <f t="shared" si="25"/>
        <v>4F西文書庫 4F Western Language Books</v>
      </c>
      <c r="E639" s="1" t="str">
        <f>("LB3013.3 C245 2000")</f>
        <v>LB3013.3 C245 2000</v>
      </c>
    </row>
    <row r="640" spans="2:5" x14ac:dyDescent="0.25">
      <c r="B640" s="1" t="str">
        <f>("W00002332")</f>
        <v>W00002332</v>
      </c>
      <c r="C640" s="1" t="str">
        <f>("Teaching and training in post-compulsory education /")</f>
        <v>Teaching and training in post-compulsory education /</v>
      </c>
      <c r="D640" s="1" t="str">
        <f t="shared" si="25"/>
        <v>4F西文書庫 4F Western Language Books</v>
      </c>
      <c r="E640" s="1" t="str">
        <f>("LC1039.8 A733 1999")</f>
        <v>LC1039.8 A733 1999</v>
      </c>
    </row>
    <row r="641" spans="2:9" x14ac:dyDescent="0.25">
      <c r="B641" s="1" t="str">
        <f>("W00002220")</f>
        <v>W00002220</v>
      </c>
      <c r="C641" s="1" t="str">
        <f>("The ESL miscellany: A treasury of cultural and liguistic information/ ")</f>
        <v xml:space="preserve">The ESL miscellany: A treasury of cultural and liguistic information/ </v>
      </c>
      <c r="D641" s="1" t="str">
        <f t="shared" si="25"/>
        <v>4F西文書庫 4F Western Language Books</v>
      </c>
      <c r="E641" s="1" t="str">
        <f>("LC5225 C592 1991")</f>
        <v>LC5225 C592 1991</v>
      </c>
    </row>
    <row r="642" spans="2:9" x14ac:dyDescent="0.25">
      <c r="B642" s="1" t="str">
        <f>("W00003087")</f>
        <v>W00003087</v>
      </c>
      <c r="C642" s="1" t="str">
        <f>("Making musical instruments by hand /")</f>
        <v>Making musical instruments by hand /</v>
      </c>
      <c r="D642" s="1" t="str">
        <f t="shared" si="25"/>
        <v>4F西文書庫 4F Western Language Books</v>
      </c>
      <c r="E642" s="1" t="str">
        <f>("ML460 H388 1998")</f>
        <v>ML460 H388 1998</v>
      </c>
    </row>
    <row r="643" spans="2:9" x14ac:dyDescent="0.25">
      <c r="B643" s="1" t="str">
        <f>("W00002841")</f>
        <v>W00002841</v>
      </c>
      <c r="C643" s="1" t="str">
        <f>("MP3 :the definitive guide /")</f>
        <v>MP3 :the definitive guide /</v>
      </c>
      <c r="D643" s="1" t="str">
        <f t="shared" si="25"/>
        <v>4F西文書庫 4F Western Language Books</v>
      </c>
      <c r="E643" s="1" t="str">
        <f>("ML74.4.M6 H119 2000")</f>
        <v>ML74.4.M6 H119 2000</v>
      </c>
    </row>
    <row r="644" spans="2:9" x14ac:dyDescent="0.25">
      <c r="B644" s="1" t="str">
        <f>("W00002325")</f>
        <v>W00002325</v>
      </c>
      <c r="C644" s="1" t="str">
        <f>("Television, globalization and cultural identities /")</f>
        <v>Television, globalization and cultural identities /</v>
      </c>
      <c r="D644" s="1" t="str">
        <f t="shared" si="25"/>
        <v>4F西文書庫 4F Western Language Books</v>
      </c>
      <c r="E644" s="1" t="str">
        <f>("N1992.6 B255 1999")</f>
        <v>N1992.6 B255 1999</v>
      </c>
    </row>
    <row r="645" spans="2:9" x14ac:dyDescent="0.25">
      <c r="B645" s="1" t="str">
        <f>("W00002734")</f>
        <v>W00002734</v>
      </c>
      <c r="C645" s="1" t="str">
        <f>("Volume, geometry, color : Regina Pizzinini &amp; Leon Luxemburg / ")</f>
        <v xml:space="preserve">Volume, geometry, color : Regina Pizzinini &amp; Leon Luxemburg / </v>
      </c>
      <c r="D645" s="1" t="str">
        <f t="shared" si="25"/>
        <v>4F西文書庫 4F Western Language Books</v>
      </c>
      <c r="E645" s="1" t="str">
        <f>("NA1174.3.P59 W365 1997")</f>
        <v>NA1174.3.P59 W365 1997</v>
      </c>
    </row>
    <row r="646" spans="2:9" x14ac:dyDescent="0.25">
      <c r="B646" s="1" t="str">
        <f>("W00002979")</f>
        <v>W00002979</v>
      </c>
      <c r="C646" s="1" t="str">
        <f>("Jungle luxe :[indigenous-style hotel and remote resort design around the world] /")</f>
        <v>Jungle luxe :[indigenous-style hotel and remote resort design around the world] /</v>
      </c>
      <c r="D646" s="1" t="str">
        <f t="shared" si="25"/>
        <v>4F西文書庫 4F Western Language Books</v>
      </c>
      <c r="E646" s="1" t="str">
        <f>("NA7820 H496 2000")</f>
        <v>NA7820 H496 2000</v>
      </c>
    </row>
    <row r="647" spans="2:9" x14ac:dyDescent="0.25">
      <c r="B647" s="1" t="str">
        <f>("W00002974")</f>
        <v>W00002974</v>
      </c>
      <c r="C647" s="1" t="str">
        <f>("Outside architecture : outdoor rooms designed by architects / ")</f>
        <v xml:space="preserve">Outside architecture : outdoor rooms designed by architects / </v>
      </c>
      <c r="D647" s="1" t="str">
        <f t="shared" si="25"/>
        <v>4F西文書庫 4F Western Language Books</v>
      </c>
      <c r="E647" s="1" t="str">
        <f>("NA8300 Z63 1999")</f>
        <v>NA8300 Z63 1999</v>
      </c>
    </row>
    <row r="648" spans="2:9" x14ac:dyDescent="0.25">
      <c r="B648" s="1" t="str">
        <f>("W00002976")</f>
        <v>W00002976</v>
      </c>
      <c r="C648" s="1" t="str">
        <f>("Abitare Annual 14")</f>
        <v>Abitare Annual 14</v>
      </c>
      <c r="D648" s="1" t="str">
        <f t="shared" si="25"/>
        <v>4F西文書庫 4F Western Language Books</v>
      </c>
      <c r="E648" s="1" t="str">
        <f>("NK1980 A148 2000")</f>
        <v>NK1980 A148 2000</v>
      </c>
    </row>
    <row r="649" spans="2:9" x14ac:dyDescent="0.25">
      <c r="B649" s="1" t="str">
        <f>("W00002977")</f>
        <v>W00002977</v>
      </c>
      <c r="C649" s="1" t="str">
        <f>("Color : details and design / ")</f>
        <v xml:space="preserve">Color : details and design / </v>
      </c>
      <c r="D649" s="1" t="str">
        <f>("罕用書庫1-洽櫃台填單 Upon-Request Collection1 fil")</f>
        <v>罕用書庫1-洽櫃台填單 Upon-Request Collection1 fil</v>
      </c>
      <c r="E649" s="1" t="str">
        <f>("NK2115.5.C6 T865 1998")</f>
        <v>NK2115.5.C6 T865 1998</v>
      </c>
      <c r="G649" s="1" t="str">
        <f>("166 p. : ")</f>
        <v xml:space="preserve">166 p. : </v>
      </c>
      <c r="H649" s="1" t="str">
        <f>(" col.ill. ; ")</f>
        <v xml:space="preserve"> col.ill. ; </v>
      </c>
      <c r="I649" s="1" t="str">
        <f>("29 cm. ")</f>
        <v xml:space="preserve">29 cm. </v>
      </c>
    </row>
    <row r="650" spans="2:9" x14ac:dyDescent="0.25">
      <c r="B650" s="1" t="str">
        <f>("W00002526")</f>
        <v>W00002526</v>
      </c>
      <c r="C650" s="1" t="str">
        <f>("Calm working spaces /")</f>
        <v>Calm working spaces /</v>
      </c>
      <c r="D650" s="1" t="str">
        <f>("4F西文書庫 4F Western Language Books")</f>
        <v>4F西文書庫 4F Western Language Books</v>
      </c>
      <c r="E650" s="1" t="str">
        <f>("NK2195.O4 M153 2000")</f>
        <v>NK2195.O4 M153 2000</v>
      </c>
    </row>
    <row r="651" spans="2:9" x14ac:dyDescent="0.25">
      <c r="B651" s="1" t="str">
        <f>("W00002208")</f>
        <v>W00002208</v>
      </c>
      <c r="C651" s="1" t="str">
        <f>("Linguistics : an introduction / ")</f>
        <v xml:space="preserve">Linguistics : an introduction / </v>
      </c>
      <c r="D651" s="1" t="str">
        <f>("罕用書庫1-洽櫃台填單 Upon-Request Collection1 fil")</f>
        <v>罕用書庫1-洽櫃台填單 Upon-Request Collection1 fil</v>
      </c>
      <c r="E651" s="1" t="str">
        <f>("P121 N216 1996")</f>
        <v>P121 N216 1996</v>
      </c>
      <c r="G651" s="1" t="str">
        <f>("vii, 580 p. : ")</f>
        <v xml:space="preserve">vii, 580 p. : </v>
      </c>
      <c r="H651" s="1" t="str">
        <f>("ill. ; ")</f>
        <v xml:space="preserve">ill. ; </v>
      </c>
      <c r="I651" s="1" t="str">
        <f>("24 cm. ")</f>
        <v xml:space="preserve">24 cm. </v>
      </c>
    </row>
    <row r="652" spans="2:9" x14ac:dyDescent="0.25">
      <c r="B652" s="1" t="str">
        <f>("W00003105")</f>
        <v>W00003105</v>
      </c>
      <c r="C652" s="1" t="str">
        <f>("Good to talk? :living and working in a communication culture /")</f>
        <v>Good to talk? :living and working in a communication culture /</v>
      </c>
      <c r="D652" s="1" t="str">
        <f>("4F西文書庫 4F Western Language Books")</f>
        <v>4F西文書庫 4F Western Language Books</v>
      </c>
      <c r="E652" s="1" t="str">
        <f>("P90 C182 2000")</f>
        <v>P90 C182 2000</v>
      </c>
    </row>
    <row r="653" spans="2:9" x14ac:dyDescent="0.25">
      <c r="B653" s="1" t="str">
        <f>("W00002969")</f>
        <v>W00002969</v>
      </c>
      <c r="C653" s="1" t="str">
        <f>("Management of electronic media / ")</f>
        <v xml:space="preserve">Management of electronic media / </v>
      </c>
      <c r="D653" s="1" t="str">
        <f>("罕用書庫1-洽櫃台填單 Upon-Request Collection1 fil")</f>
        <v>罕用書庫1-洽櫃台填單 Upon-Request Collection1 fil</v>
      </c>
      <c r="E653" s="1" t="str">
        <f>("P96 A327 1997")</f>
        <v>P96 A327 1997</v>
      </c>
      <c r="G653" s="1" t="str">
        <f>("xix, 324 p. : ")</f>
        <v xml:space="preserve">xix, 324 p. : </v>
      </c>
      <c r="H653" s="1" t="str">
        <f>("ill., maps ; ")</f>
        <v xml:space="preserve">ill., maps ; </v>
      </c>
      <c r="I653" s="1" t="str">
        <f>("25 cm. ")</f>
        <v xml:space="preserve">25 cm. </v>
      </c>
    </row>
    <row r="654" spans="2:9" x14ac:dyDescent="0.25">
      <c r="B654" s="1" t="str">
        <f>("W00002980")</f>
        <v>W00002980</v>
      </c>
      <c r="C654" s="1" t="str">
        <f>("American Business English Program:  Elementary(Course Book)/ ")</f>
        <v xml:space="preserve">American Business English Program:  Elementary(Course Book)/ </v>
      </c>
      <c r="D654" s="1" t="str">
        <f t="shared" ref="D654:D687" si="26">("4F西文書庫 4F Western Language Books")</f>
        <v>4F西文書庫 4F Western Language Books</v>
      </c>
      <c r="E654" s="1" t="str">
        <f>("PE1115 B251 1993")</f>
        <v>PE1115 B251 1993</v>
      </c>
    </row>
    <row r="655" spans="2:9" x14ac:dyDescent="0.25">
      <c r="B655" s="1" t="str">
        <f>("W00002986")</f>
        <v>W00002986</v>
      </c>
      <c r="C655" s="1" t="str">
        <f>("American Business English Program:  Elementary(/ ")</f>
        <v xml:space="preserve">American Business English Program:  Elementary(/ </v>
      </c>
      <c r="D655" s="1" t="str">
        <f t="shared" si="26"/>
        <v>4F西文書庫 4F Western Language Books</v>
      </c>
      <c r="E655" s="1" t="str">
        <f>("PE1115 B251-2 1999")</f>
        <v>PE1115 B251-2 1999</v>
      </c>
    </row>
    <row r="656" spans="2:9" x14ac:dyDescent="0.25">
      <c r="B656" s="1" t="str">
        <f>("W00002991")</f>
        <v>W00002991</v>
      </c>
      <c r="C656" s="1" t="str">
        <f>("American Business English Program:  Intermediate/ ")</f>
        <v xml:space="preserve">American Business English Program:  Intermediate/ </v>
      </c>
      <c r="D656" s="1" t="str">
        <f t="shared" si="26"/>
        <v>4F西文書庫 4F Western Language Books</v>
      </c>
      <c r="E656" s="1" t="str">
        <f>("PE1115 B251-3 1995")</f>
        <v>PE1115 B251-3 1995</v>
      </c>
    </row>
    <row r="657" spans="2:6" x14ac:dyDescent="0.25">
      <c r="B657" s="1" t="str">
        <f>("W00002965")</f>
        <v>W00002965</v>
      </c>
      <c r="C657" s="1" t="str">
        <f>("Advanced business contacts / ")</f>
        <v xml:space="preserve">Advanced business contacts / </v>
      </c>
      <c r="D657" s="1" t="str">
        <f t="shared" si="26"/>
        <v>4F西文書庫 4F Western Language Books</v>
      </c>
      <c r="E657" s="1" t="str">
        <f>("PE1115 B853 1994")</f>
        <v>PE1115 B853 1994</v>
      </c>
    </row>
    <row r="658" spans="2:6" x14ac:dyDescent="0.25">
      <c r="B658" s="1" t="str">
        <f>("W00002539")</f>
        <v>W00002539</v>
      </c>
      <c r="C658" s="1" t="str">
        <f>("Business Options")</f>
        <v>Business Options</v>
      </c>
      <c r="D658" s="1" t="str">
        <f t="shared" si="26"/>
        <v>4F西文書庫 4F Western Language Books</v>
      </c>
      <c r="E658" s="1" t="str">
        <f>("PE1115 B976 1999")</f>
        <v>PE1115 B976 1999</v>
      </c>
      <c r="F658" s="1" t="str">
        <f>("2捲錄音帶")</f>
        <v>2捲錄音帶</v>
      </c>
    </row>
    <row r="659" spans="2:6" x14ac:dyDescent="0.25">
      <c r="B659" s="1" t="str">
        <f>("W00002548")</f>
        <v>W00002548</v>
      </c>
      <c r="C659" s="1" t="str">
        <f>("Internet English/")</f>
        <v>Internet English/</v>
      </c>
      <c r="D659" s="1" t="str">
        <f t="shared" si="26"/>
        <v>4F西文書庫 4F Western Language Books</v>
      </c>
      <c r="E659" s="1" t="str">
        <f>("PE1115 G536 2000")</f>
        <v>PE1115 G536 2000</v>
      </c>
    </row>
    <row r="660" spans="2:6" x14ac:dyDescent="0.25">
      <c r="B660" s="1" t="str">
        <f>("W00002537")</f>
        <v>W00002537</v>
      </c>
      <c r="C660" s="1" t="str">
        <f>("Business Basic /")</f>
        <v>Business Basic /</v>
      </c>
      <c r="D660" s="1" t="str">
        <f t="shared" si="26"/>
        <v>4F西文書庫 4F Western Language Books</v>
      </c>
      <c r="E660" s="1" t="str">
        <f>("PE1115 G761 1995 v.1")</f>
        <v>PE1115 G761 1995 v.1</v>
      </c>
    </row>
    <row r="661" spans="2:6" x14ac:dyDescent="0.25">
      <c r="B661" s="1" t="str">
        <f>("W00002544")</f>
        <v>W00002544</v>
      </c>
      <c r="C661" s="1" t="str">
        <f>("Business Basic /")</f>
        <v>Business Basic /</v>
      </c>
      <c r="D661" s="1" t="str">
        <f t="shared" si="26"/>
        <v>4F西文書庫 4F Western Language Books</v>
      </c>
      <c r="E661" s="1" t="str">
        <f>("PE1115 G761 1995 v.2")</f>
        <v>PE1115 G761 1995 v.2</v>
      </c>
    </row>
    <row r="662" spans="2:6" x14ac:dyDescent="0.25">
      <c r="B662" s="1" t="str">
        <f>("W00002543")</f>
        <v>W00002543</v>
      </c>
      <c r="C662" s="1" t="str">
        <f>("Business opportunities /")</f>
        <v>Business opportunities /</v>
      </c>
      <c r="D662" s="1" t="str">
        <f t="shared" si="26"/>
        <v>4F西文書庫 4F Western Language Books</v>
      </c>
      <c r="E662" s="1" t="str">
        <f>("PE1115 H738 1994 v.1")</f>
        <v>PE1115 H738 1994 v.1</v>
      </c>
    </row>
    <row r="663" spans="2:6" x14ac:dyDescent="0.25">
      <c r="B663" s="1" t="str">
        <f>("W00002546")</f>
        <v>W00002546</v>
      </c>
      <c r="C663" s="1" t="str">
        <f>("Business opportunities /")</f>
        <v>Business opportunities /</v>
      </c>
      <c r="D663" s="1" t="str">
        <f t="shared" si="26"/>
        <v>4F西文書庫 4F Western Language Books</v>
      </c>
      <c r="E663" s="1" t="str">
        <f>("PE1115 H738 1994 v.2")</f>
        <v>PE1115 H738 1994 v.2</v>
      </c>
    </row>
    <row r="664" spans="2:6" x14ac:dyDescent="0.25">
      <c r="B664" s="1" t="str">
        <f>("W00002542")</f>
        <v>W00002542</v>
      </c>
      <c r="C664" s="1" t="str">
        <f>("Commercially/")</f>
        <v>Commercially/</v>
      </c>
      <c r="D664" s="1" t="str">
        <f t="shared" si="26"/>
        <v>4F西文書庫 4F Western Language Books</v>
      </c>
      <c r="E664" s="1" t="str">
        <f>("PE1115 I72 1995")</f>
        <v>PE1115 I72 1995</v>
      </c>
    </row>
    <row r="665" spans="2:6" x14ac:dyDescent="0.25">
      <c r="B665" s="1" t="str">
        <f>("W00002987")</f>
        <v>W00002987</v>
      </c>
      <c r="C665" s="1" t="str">
        <f>("The Heinle &amp; Heinle TOEFL test assistant :  Vocabulary / ")</f>
        <v xml:space="preserve">The Heinle &amp; Heinle TOEFL test assistant :  Vocabulary / </v>
      </c>
      <c r="D665" s="1" t="str">
        <f t="shared" si="26"/>
        <v>4F西文書庫 4F Western Language Books</v>
      </c>
      <c r="E665" s="1" t="str">
        <f>("PE1122 B875 1994")</f>
        <v>PE1122 B875 1994</v>
      </c>
    </row>
    <row r="666" spans="2:6" x14ac:dyDescent="0.25">
      <c r="B666" s="1" t="str">
        <f>("W00002530")</f>
        <v>W00002530</v>
      </c>
      <c r="C666" s="1" t="str">
        <f>("Business Venture /")</f>
        <v>Business Venture /</v>
      </c>
      <c r="D666" s="1" t="str">
        <f t="shared" si="26"/>
        <v>4F西文書庫 4F Western Language Books</v>
      </c>
      <c r="E666" s="1" t="str">
        <f>("PE1128 B259 1997 v.1")</f>
        <v>PE1128 B259 1997 v.1</v>
      </c>
    </row>
    <row r="667" spans="2:6" x14ac:dyDescent="0.25">
      <c r="B667" s="1" t="str">
        <f>("W00002529")</f>
        <v>W00002529</v>
      </c>
      <c r="C667" s="1" t="str">
        <f>("Business Venture /")</f>
        <v>Business Venture /</v>
      </c>
      <c r="D667" s="1" t="str">
        <f t="shared" si="26"/>
        <v>4F西文書庫 4F Western Language Books</v>
      </c>
      <c r="E667" s="1" t="str">
        <f>("PE1128 B259 1997 v.2")</f>
        <v>PE1128 B259 1997 v.2</v>
      </c>
    </row>
    <row r="668" spans="2:6" x14ac:dyDescent="0.25">
      <c r="B668" s="1" t="str">
        <f>("W00002966")</f>
        <v>W00002966</v>
      </c>
      <c r="C668" s="1" t="str">
        <f>("Applied English : language skills for business and everyday use / ")</f>
        <v xml:space="preserve">Applied English : language skills for business and everyday use / </v>
      </c>
      <c r="D668" s="1" t="str">
        <f t="shared" si="26"/>
        <v>4F西文書庫 4F Western Language Books</v>
      </c>
      <c r="E668" s="1" t="str">
        <f>("PE1128 B279 1999")</f>
        <v>PE1128 B279 1999</v>
      </c>
    </row>
    <row r="669" spans="2:6" x14ac:dyDescent="0.25">
      <c r="B669" s="1" t="str">
        <f>("W00002961")</f>
        <v>W00002961</v>
      </c>
      <c r="C669" s="1" t="str">
        <f>("10 Steps Controlled Composition for Beginning and Intermediate Language Development")</f>
        <v>10 Steps Controlled Composition for Beginning and Intermediate Language Development</v>
      </c>
      <c r="D669" s="1" t="str">
        <f t="shared" si="26"/>
        <v>4F西文書庫 4F Western Language Books</v>
      </c>
      <c r="E669" s="1" t="str">
        <f>("PE1128 B872 1996")</f>
        <v>PE1128 B872 1996</v>
      </c>
    </row>
    <row r="670" spans="2:6" x14ac:dyDescent="0.25">
      <c r="B670" s="1" t="str">
        <f>("W00002988")</f>
        <v>W00002988</v>
      </c>
      <c r="C670" s="1" t="str">
        <f>("The Heinle &amp; Heinle TOEFL test assistant :  Reading / ")</f>
        <v xml:space="preserve">The Heinle &amp; Heinle TOEFL test assistant :  Reading / </v>
      </c>
      <c r="D670" s="1" t="str">
        <f t="shared" si="26"/>
        <v>4F西文書庫 4F Western Language Books</v>
      </c>
      <c r="E670" s="1" t="str">
        <f>("PE1128 B875-2 1994")</f>
        <v>PE1128 B875-2 1994</v>
      </c>
    </row>
    <row r="671" spans="2:6" x14ac:dyDescent="0.25">
      <c r="B671" s="1" t="str">
        <f>("W00002989")</f>
        <v>W00002989</v>
      </c>
      <c r="C671" s="1" t="str">
        <f>("The Heinle &amp; Heinle TOEFL test assistant :  listening / ")</f>
        <v xml:space="preserve">The Heinle &amp; Heinle TOEFL test assistant :  listening / </v>
      </c>
      <c r="D671" s="1" t="str">
        <f t="shared" si="26"/>
        <v>4F西文書庫 4F Western Language Books</v>
      </c>
      <c r="E671" s="1" t="str">
        <f>("PE1128 B875-3 1995")</f>
        <v>PE1128 B875-3 1995</v>
      </c>
    </row>
    <row r="672" spans="2:6" x14ac:dyDescent="0.25">
      <c r="B672" s="1" t="str">
        <f>("W00002538")</f>
        <v>W00002538</v>
      </c>
      <c r="C672" s="1" t="str">
        <f>("Focus on grammar. A high-intermediate course for reference and practice / ")</f>
        <v xml:space="preserve">Focus on grammar. A high-intermediate course for reference and practice / </v>
      </c>
      <c r="D672" s="1" t="str">
        <f t="shared" si="26"/>
        <v>4F西文書庫 4F Western Language Books</v>
      </c>
      <c r="E672" s="1" t="str">
        <f>("PE1128 F951 2000")</f>
        <v>PE1128 F951 2000</v>
      </c>
    </row>
    <row r="673" spans="2:6" x14ac:dyDescent="0.25">
      <c r="B673" s="1" t="str">
        <f>("W00002547")</f>
        <v>W00002547</v>
      </c>
      <c r="C673" s="1" t="str">
        <f>("High season :English for the hotel and tourist industry /")</f>
        <v>High season :English for the hotel and tourist industry /</v>
      </c>
      <c r="D673" s="1" t="str">
        <f t="shared" si="26"/>
        <v>4F西文書庫 4F Western Language Books</v>
      </c>
      <c r="E673" s="1" t="str">
        <f>("PE1128 H263 1994 v.1")</f>
        <v>PE1128 H263 1994 v.1</v>
      </c>
    </row>
    <row r="674" spans="2:6" x14ac:dyDescent="0.25">
      <c r="B674" s="1" t="str">
        <f>("W00002541")</f>
        <v>W00002541</v>
      </c>
      <c r="C674" s="1" t="str">
        <f>("High season :English for the hotel and tourist industry /")</f>
        <v>High season :English for the hotel and tourist industry /</v>
      </c>
      <c r="D674" s="1" t="str">
        <f t="shared" si="26"/>
        <v>4F西文書庫 4F Western Language Books</v>
      </c>
      <c r="E674" s="1" t="str">
        <f>("PE1128 H263 1994 v.2")</f>
        <v>PE1128 H263 1994 v.2</v>
      </c>
    </row>
    <row r="675" spans="2:6" x14ac:dyDescent="0.25">
      <c r="B675" s="1" t="str">
        <f>("W00002962")</f>
        <v>W00002962</v>
      </c>
      <c r="C675" s="1" t="str">
        <f>("26 Steps Controlled Composition for Intermediate and Advanced Language Development")</f>
        <v>26 Steps Controlled Composition for Intermediate and Advanced Language Development</v>
      </c>
      <c r="D675" s="1" t="str">
        <f t="shared" si="26"/>
        <v>4F西文書庫 4F Western Language Books</v>
      </c>
      <c r="E675" s="1" t="str">
        <f>("PE1128 K95 1996")</f>
        <v>PE1128 K95 1996</v>
      </c>
    </row>
    <row r="676" spans="2:6" x14ac:dyDescent="0.25">
      <c r="B676" s="1" t="str">
        <f>("W00002960")</f>
        <v>W00002960</v>
      </c>
      <c r="C676" s="1" t="str">
        <f>("Basics in pronunciation : intermediate practice for clear communication / ")</f>
        <v xml:space="preserve">Basics in pronunciation : intermediate practice for clear communication / </v>
      </c>
      <c r="D676" s="1" t="str">
        <f t="shared" si="26"/>
        <v>4F西文書庫 4F Western Language Books</v>
      </c>
      <c r="E676" s="1" t="str">
        <f>("PE1128 L265 1997")</f>
        <v>PE1128 L265 1997</v>
      </c>
    </row>
    <row r="677" spans="2:6" x14ac:dyDescent="0.25">
      <c r="B677" s="1" t="str">
        <f>("W00002964")</f>
        <v>W00002964</v>
      </c>
      <c r="C677" s="1" t="str">
        <f>("The grammar activity book /")</f>
        <v>The grammar activity book /</v>
      </c>
      <c r="D677" s="1" t="str">
        <f t="shared" si="26"/>
        <v>4F西文書庫 4F Western Language Books</v>
      </c>
      <c r="E677" s="1" t="str">
        <f>("PE1128 O12 1999")</f>
        <v>PE1128 O12 1999</v>
      </c>
    </row>
    <row r="678" spans="2:6" x14ac:dyDescent="0.25">
      <c r="B678" s="1" t="str">
        <f>("W00002963")</f>
        <v>W00002963</v>
      </c>
      <c r="C678" s="1" t="str">
        <f>("Discussions A-Z intermediate : a resource book of speaking activities / ")</f>
        <v xml:space="preserve">Discussions A-Z intermediate : a resource book of speaking activities / </v>
      </c>
      <c r="D678" s="1" t="str">
        <f t="shared" si="26"/>
        <v>4F西文書庫 4F Western Language Books</v>
      </c>
      <c r="E678" s="1" t="str">
        <f>("PE1128 W187 1997")</f>
        <v>PE1128 W187 1997</v>
      </c>
    </row>
    <row r="679" spans="2:6" x14ac:dyDescent="0.25">
      <c r="B679" s="1" t="str">
        <f>("W00002477")</f>
        <v>W00002477</v>
      </c>
      <c r="C679" s="1" t="str">
        <f>("101 word games for students of English as a second or foreign language /")</f>
        <v>101 word games for students of English as a second or foreign language /</v>
      </c>
      <c r="D679" s="1" t="str">
        <f t="shared" si="26"/>
        <v>4F西文書庫 4F Western Language Books</v>
      </c>
      <c r="E679" s="1" t="str">
        <f>("PE1128.A2 M111 1998")</f>
        <v>PE1128.A2 M111 1998</v>
      </c>
    </row>
    <row r="680" spans="2:6" x14ac:dyDescent="0.25">
      <c r="B680" s="1" t="str">
        <f>("W00002189")</f>
        <v>W00002189</v>
      </c>
      <c r="C680" s="1" t="str">
        <f>("Learner English :a teacher's guide to interference and other problems /")</f>
        <v>Learner English :a teacher's guide to interference and other problems /</v>
      </c>
      <c r="D680" s="1" t="str">
        <f t="shared" si="26"/>
        <v>4F西文書庫 4F Western Language Books</v>
      </c>
      <c r="E680" s="1" t="str">
        <f>("PE1128.A2 S972 2001")</f>
        <v>PE1128.A2 S972 2001</v>
      </c>
    </row>
    <row r="681" spans="2:6" x14ac:dyDescent="0.25">
      <c r="B681" s="1" t="str">
        <f>("W00003155")</f>
        <v>W00003155</v>
      </c>
      <c r="C681" s="1" t="str">
        <f>("Entertainment industry economics :a guide for financial analysis /")</f>
        <v>Entertainment industry economics :a guide for financial analysis /</v>
      </c>
      <c r="D681" s="1" t="str">
        <f t="shared" si="26"/>
        <v>4F西文書庫 4F Western Language Books</v>
      </c>
      <c r="E681" s="1" t="str">
        <f>("PN1590.F55 V878 1998")</f>
        <v>PN1590.F55 V878 1998</v>
      </c>
    </row>
    <row r="682" spans="2:6" x14ac:dyDescent="0.25">
      <c r="B682" s="1" t="str">
        <f>("W00002082")</f>
        <v>W00002082</v>
      </c>
      <c r="C682" s="1" t="str">
        <f>("Principles of public speaking /")</f>
        <v>Principles of public speaking /</v>
      </c>
      <c r="D682" s="1" t="str">
        <f t="shared" si="26"/>
        <v>4F西文書庫 4F Western Language Books</v>
      </c>
      <c r="E682" s="1" t="str">
        <f>("PN4121 P955 2000")</f>
        <v>PN4121 P955 2000</v>
      </c>
      <c r="F682" s="1" t="str">
        <f>("光碟片1片")</f>
        <v>光碟片1片</v>
      </c>
    </row>
    <row r="683" spans="2:6" x14ac:dyDescent="0.25">
      <c r="B683" s="1" t="str">
        <f>("W00002198")</f>
        <v>W00002198</v>
      </c>
      <c r="C683" s="1" t="str">
        <f>("Telling stories, taking risks :journalism writing at the century's edge /")</f>
        <v>Telling stories, taking risks :journalism writing at the century's edge /</v>
      </c>
      <c r="D683" s="1" t="str">
        <f t="shared" si="26"/>
        <v>4F西文書庫 4F Western Language Books</v>
      </c>
      <c r="E683" s="1" t="str">
        <f>("PN4726 K64 1998")</f>
        <v>PN4726 K64 1998</v>
      </c>
    </row>
    <row r="684" spans="2:6" x14ac:dyDescent="0.25">
      <c r="B684" s="1" t="str">
        <f>("W00002366")</f>
        <v>W00002366</v>
      </c>
      <c r="C684" s="1" t="str">
        <f>("Last minute speeches and toasts / ")</f>
        <v xml:space="preserve">Last minute speeches and toasts / </v>
      </c>
      <c r="D684" s="1" t="str">
        <f t="shared" si="26"/>
        <v>4F西文書庫 4F Western Language Books</v>
      </c>
      <c r="E684" s="1" t="str">
        <f>("PN6122 F941 2001")</f>
        <v>PN6122 F941 2001</v>
      </c>
    </row>
    <row r="685" spans="2:6" x14ac:dyDescent="0.25">
      <c r="B685" s="1" t="str">
        <f>("W00002743")</f>
        <v>W00002743</v>
      </c>
      <c r="C685" s="1" t="str">
        <f>("Evil geniuses in a nutshell : a User friendly guide to world domination / ")</f>
        <v xml:space="preserve">Evil geniuses in a nutshell : a User friendly guide to world domination / </v>
      </c>
      <c r="D685" s="1" t="str">
        <f t="shared" si="26"/>
        <v>4F西文書庫 4F Western Language Books</v>
      </c>
      <c r="E685" s="1" t="str">
        <f>("PN6728.U84 I29 2000")</f>
        <v>PN6728.U84 I29 2000</v>
      </c>
    </row>
    <row r="686" spans="2:6" x14ac:dyDescent="0.25">
      <c r="B686" s="1" t="str">
        <f>("W00002354")</f>
        <v>W00002354</v>
      </c>
      <c r="C686" s="1" t="str">
        <f>("The importance of being Earnest / ")</f>
        <v xml:space="preserve">The importance of being Earnest / </v>
      </c>
      <c r="D686" s="1" t="str">
        <f t="shared" si="26"/>
        <v>4F西文書庫 4F Western Language Books</v>
      </c>
      <c r="E686" s="1" t="str">
        <f>("PR5818 W671 1890")</f>
        <v>PR5818 W671 1890</v>
      </c>
    </row>
    <row r="687" spans="2:6" x14ac:dyDescent="0.25">
      <c r="B687" s="1" t="str">
        <f>("W00002302")</f>
        <v>W00002302</v>
      </c>
      <c r="C687" s="1" t="str">
        <f>("102 extra training games /")</f>
        <v>102 extra training games /</v>
      </c>
      <c r="D687" s="1" t="str">
        <f t="shared" si="26"/>
        <v>4F西文書庫 4F Western Language Books</v>
      </c>
      <c r="E687" s="1" t="str">
        <f>("PZ4 K93 2000")</f>
        <v>PZ4 K93 2000</v>
      </c>
    </row>
    <row r="688" spans="2:6" x14ac:dyDescent="0.25">
      <c r="B688" s="1" t="str">
        <f>("W00002166")</f>
        <v>W00002166</v>
      </c>
      <c r="C688" s="1" t="str">
        <f>("Harry Potter and the chamber of secrets / ")</f>
        <v xml:space="preserve">Harry Potter and the chamber of secrets / </v>
      </c>
      <c r="D688" s="1" t="str">
        <f>("2F百大好書專區 2F Top 100 Books")</f>
        <v>2F百大好書專區 2F Top 100 Books</v>
      </c>
      <c r="E688" s="1" t="str">
        <f>("PZ7.R79835 R883 1998")</f>
        <v>PZ7.R79835 R883 1998</v>
      </c>
    </row>
    <row r="689" spans="2:9" x14ac:dyDescent="0.25">
      <c r="B689" s="1" t="str">
        <f>("W00002378")</f>
        <v>W00002378</v>
      </c>
      <c r="C689" s="1" t="str">
        <f>("Harry Potter and the philosopher's stone /")</f>
        <v>Harry Potter and the philosopher's stone /</v>
      </c>
      <c r="D689" s="1" t="str">
        <f>("2F百大好書專區 2F Top 100 Books")</f>
        <v>2F百大好書專區 2F Top 100 Books</v>
      </c>
      <c r="E689" s="1" t="str">
        <f>("PZ7.R79835 R884-4 2000 c.3")</f>
        <v>PZ7.R79835 R884-4 2000 c.3</v>
      </c>
    </row>
    <row r="690" spans="2:9" x14ac:dyDescent="0.25">
      <c r="B690" s="1" t="str">
        <f>("W00002044")</f>
        <v>W00002044</v>
      </c>
      <c r="C690" s="1" t="str">
        <f>("The intellectual and social organization of the sciences /")</f>
        <v>The intellectual and social organization of the sciences /</v>
      </c>
      <c r="D690" s="1" t="str">
        <f>("4F西文書庫 4F Western Language Books")</f>
        <v>4F西文書庫 4F Western Language Books</v>
      </c>
      <c r="E690" s="1" t="str">
        <f>("Q175 W577 2000")</f>
        <v>Q175 W577 2000</v>
      </c>
    </row>
    <row r="691" spans="2:9" x14ac:dyDescent="0.25">
      <c r="B691" s="1" t="str">
        <f>("W00003235")</f>
        <v>W00003235</v>
      </c>
      <c r="C691" s="1" t="str">
        <f>("Fuzzy sets, fuzzy logic, fuzzy methods with applications /")</f>
        <v>Fuzzy sets, fuzzy logic, fuzzy methods with applications /</v>
      </c>
      <c r="D691" s="1" t="str">
        <f>("4F西文書庫 4F Western Language Books")</f>
        <v>4F西文書庫 4F Western Language Books</v>
      </c>
      <c r="E691" s="1" t="str">
        <f>("QA248.5 B214 1995")</f>
        <v>QA248.5 B214 1995</v>
      </c>
    </row>
    <row r="692" spans="2:9" x14ac:dyDescent="0.25">
      <c r="B692" s="1" t="str">
        <f>("W00002469")</f>
        <v>W00002469</v>
      </c>
      <c r="C692" s="1" t="str">
        <f>("Introductory statistics ")</f>
        <v xml:space="preserve">Introductory statistics </v>
      </c>
      <c r="D692" s="1" t="str">
        <f>("4F西文書庫 4F Western Language Books")</f>
        <v>4F西文書庫 4F Western Language Books</v>
      </c>
      <c r="E692" s="1" t="str">
        <f>("QA276.12 W429 1999")</f>
        <v>QA276.12 W429 1999</v>
      </c>
    </row>
    <row r="693" spans="2:9" x14ac:dyDescent="0.25">
      <c r="B693" s="1" t="str">
        <f>("W00002579")</f>
        <v>W00002579</v>
      </c>
      <c r="C693" s="1" t="str">
        <f>("A first course in design and analysis of experiments /")</f>
        <v>A first course in design and analysis of experiments /</v>
      </c>
      <c r="D693" s="1" t="str">
        <f>("4F西文書庫 4F Western Language Books")</f>
        <v>4F西文書庫 4F Western Language Books</v>
      </c>
      <c r="E693" s="1" t="str">
        <f>("QA279 O28 2000")</f>
        <v>QA279 O28 2000</v>
      </c>
      <c r="G693" s="1" t="str">
        <f>("xvii, 659 p. :")</f>
        <v>xvii, 659 p. :</v>
      </c>
      <c r="H693" s="1" t="str">
        <f>("ill. ;")</f>
        <v>ill. ;</v>
      </c>
      <c r="I693" s="1" t="str">
        <f>("24 cm ")</f>
        <v xml:space="preserve">24 cm </v>
      </c>
    </row>
    <row r="694" spans="2:9" x14ac:dyDescent="0.25">
      <c r="B694" s="1" t="str">
        <f>("W00002499")</f>
        <v>W00002499</v>
      </c>
      <c r="C694" s="1" t="str">
        <f>("Linear Models in Statistics/ ")</f>
        <v xml:space="preserve">Linear Models in Statistics/ </v>
      </c>
      <c r="D694" s="1" t="str">
        <f>("4F西文書庫 4F Western Language Books")</f>
        <v>4F西文書庫 4F Western Language Books</v>
      </c>
      <c r="E694" s="1" t="str">
        <f>("QA279 R393 2000")</f>
        <v>QA279 R393 2000</v>
      </c>
      <c r="G694" s="1" t="str">
        <f>("578p.: ")</f>
        <v xml:space="preserve">578p.: </v>
      </c>
      <c r="H694" s="1" t="str">
        <f>("ill. ; ")</f>
        <v xml:space="preserve">ill. ; </v>
      </c>
      <c r="I694" s="1" t="str">
        <f>("24cm.")</f>
        <v>24cm.</v>
      </c>
    </row>
    <row r="695" spans="2:9" x14ac:dyDescent="0.25">
      <c r="B695" s="1" t="str">
        <f>("W00002513")</f>
        <v>W00002513</v>
      </c>
      <c r="C695" s="1" t="str">
        <f>("Experiments : planning, analysis, and parameter design optimization / ")</f>
        <v xml:space="preserve">Experiments : planning, analysis, and parameter design optimization / </v>
      </c>
      <c r="D695" s="1" t="str">
        <f>("罕用書庫1-洽櫃台填單 Upon-Request Collection1 fil")</f>
        <v>罕用書庫1-洽櫃台填單 Upon-Request Collection1 fil</v>
      </c>
      <c r="E695" s="1" t="str">
        <f>("QA279 W956 2000 c.2")</f>
        <v>QA279 W956 2000 c.2</v>
      </c>
      <c r="G695" s="1" t="str">
        <f>("xxviii, 630 p. : ")</f>
        <v xml:space="preserve">xxviii, 630 p. : </v>
      </c>
      <c r="H695" s="1" t="str">
        <f>("ill. ; ")</f>
        <v xml:space="preserve">ill. ; </v>
      </c>
      <c r="I695" s="1" t="str">
        <f>("24 cm. ")</f>
        <v xml:space="preserve">24 cm. </v>
      </c>
    </row>
    <row r="696" spans="2:9" x14ac:dyDescent="0.25">
      <c r="B696" s="1" t="str">
        <f>("W00002505")</f>
        <v>W00002505</v>
      </c>
      <c r="C696" s="1" t="str">
        <f>("Brief applied calculus.  / ")</f>
        <v xml:space="preserve">Brief applied calculus.  / </v>
      </c>
      <c r="D696" s="1" t="str">
        <f t="shared" ref="D696:D726" si="27">("4F西文書庫 4F Western Language Books")</f>
        <v>4F西文書庫 4F Western Language Books</v>
      </c>
      <c r="E696" s="1" t="str">
        <f>("QA303 B533 2000")</f>
        <v>QA303 B533 2000</v>
      </c>
      <c r="G696" s="1" t="str">
        <f>("1 v. (various pagings) : ")</f>
        <v xml:space="preserve">1 v. (various pagings) : </v>
      </c>
      <c r="H696" s="1" t="str">
        <f>("ill. (some col.) ; ")</f>
        <v xml:space="preserve">ill. (some col.) ; </v>
      </c>
      <c r="I696" s="1" t="str">
        <f>("24 cm. ")</f>
        <v xml:space="preserve">24 cm. </v>
      </c>
    </row>
    <row r="697" spans="2:9" x14ac:dyDescent="0.25">
      <c r="B697" s="1" t="str">
        <f>("W00002524")</f>
        <v>W00002524</v>
      </c>
      <c r="C697" s="1" t="str">
        <f>("50 trade secrets of great design :retail spaces /")</f>
        <v>50 trade secrets of great design :retail spaces /</v>
      </c>
      <c r="D697" s="1" t="str">
        <f t="shared" si="27"/>
        <v>4F西文書庫 4F Western Language Books</v>
      </c>
      <c r="E697" s="1" t="str">
        <f>("QA309 C638 1999")</f>
        <v>QA309 C638 1999</v>
      </c>
    </row>
    <row r="698" spans="2:9" x14ac:dyDescent="0.25">
      <c r="B698" s="1" t="str">
        <f>("W00002523")</f>
        <v>W00002523</v>
      </c>
      <c r="C698" s="1" t="str">
        <f>("Health Spaces")</f>
        <v>Health Spaces</v>
      </c>
      <c r="D698" s="1" t="str">
        <f t="shared" si="27"/>
        <v>4F西文書庫 4F Western Language Books</v>
      </c>
      <c r="E698" s="1" t="str">
        <f>("QA309 H434 2000")</f>
        <v>QA309 H434 2000</v>
      </c>
    </row>
    <row r="699" spans="2:9" x14ac:dyDescent="0.25">
      <c r="B699" s="1" t="str">
        <f>("W00003236")</f>
        <v>W00003236</v>
      </c>
      <c r="C699" s="1" t="str">
        <f>("Introduction to computing and algorithms /")</f>
        <v>Introduction to computing and algorithms /</v>
      </c>
      <c r="D699" s="1" t="str">
        <f t="shared" si="27"/>
        <v>4F西文書庫 4F Western Language Books</v>
      </c>
      <c r="E699" s="1" t="str">
        <f>("QA76 S524 1998")</f>
        <v>QA76 S524 1998</v>
      </c>
      <c r="G699" s="1" t="str">
        <f>("xxiii, 412 p. :")</f>
        <v>xxiii, 412 p. :</v>
      </c>
      <c r="H699" s="1" t="str">
        <f>("ill. ;")</f>
        <v>ill. ;</v>
      </c>
      <c r="I699" s="1" t="str">
        <f>("24 cm.")</f>
        <v>24 cm.</v>
      </c>
    </row>
    <row r="700" spans="2:9" x14ac:dyDescent="0.25">
      <c r="B700" s="1" t="str">
        <f>("W00003272")</f>
        <v>W00003272</v>
      </c>
      <c r="C700" s="1" t="str">
        <f>("The history of computers /")</f>
        <v>The history of computers /</v>
      </c>
      <c r="D700" s="1" t="str">
        <f t="shared" si="27"/>
        <v>4F西文書庫 4F Western Language Books</v>
      </c>
      <c r="E700" s="1" t="str">
        <f>("QA76.17 F74 1995")</f>
        <v>QA76.17 F74 1995</v>
      </c>
      <c r="G700" s="1" t="str">
        <f>("ix, 153 p. :")</f>
        <v>ix, 153 p. :</v>
      </c>
      <c r="H700" s="1" t="str">
        <f>("col. ill. ;")</f>
        <v>col. ill. ;</v>
      </c>
      <c r="I700" s="1" t="str">
        <f>("26 cm.")</f>
        <v>26 cm.</v>
      </c>
    </row>
    <row r="701" spans="2:9" x14ac:dyDescent="0.25">
      <c r="B701" s="1" t="str">
        <f>("W00002815")</f>
        <v>W00002815</v>
      </c>
      <c r="C701" s="1" t="str">
        <f>("MCSE windows 2000 professional exam notes / ")</f>
        <v xml:space="preserve">MCSE windows 2000 professional exam notes / </v>
      </c>
      <c r="D701" s="1" t="str">
        <f t="shared" si="27"/>
        <v>4F西文書庫 4F Western Language Books</v>
      </c>
      <c r="E701" s="1" t="str">
        <f>("QA76.3 C516 2000")</f>
        <v>QA76.3 C516 2000</v>
      </c>
    </row>
    <row r="702" spans="2:9" x14ac:dyDescent="0.25">
      <c r="B702" s="1" t="str">
        <f>("W00002819")</f>
        <v>W00002819</v>
      </c>
      <c r="C702" s="1" t="str">
        <f>("MCSE :  Windows 2000 network infrastructure design : exam notes / ")</f>
        <v xml:space="preserve">MCSE :  Windows 2000 network infrastructure design : exam notes / </v>
      </c>
      <c r="D702" s="1" t="str">
        <f t="shared" si="27"/>
        <v>4F西文書庫 4F Western Language Books</v>
      </c>
      <c r="E702" s="1" t="str">
        <f>("QA76.3 H474 2000")</f>
        <v>QA76.3 H474 2000</v>
      </c>
    </row>
    <row r="703" spans="2:9" x14ac:dyDescent="0.25">
      <c r="B703" s="1" t="str">
        <f>("W00002594")</f>
        <v>W00002594</v>
      </c>
      <c r="C703" s="1" t="str">
        <f>("Get Linux certified and get ahead / ")</f>
        <v xml:space="preserve">Get Linux certified and get ahead / </v>
      </c>
      <c r="D703" s="1" t="str">
        <f t="shared" si="27"/>
        <v>4F西文書庫 4F Western Language Books</v>
      </c>
      <c r="E703" s="1" t="str">
        <f>("QA76.3 M385 2000")</f>
        <v>QA76.3 M385 2000</v>
      </c>
    </row>
    <row r="704" spans="2:9" x14ac:dyDescent="0.25">
      <c r="B704" s="1" t="str">
        <f>("W00002611")</f>
        <v>W00002611</v>
      </c>
      <c r="C704" s="1" t="str">
        <f>("Accelerated Domino Web development and administration study guide")</f>
        <v>Accelerated Domino Web development and administration study guide</v>
      </c>
      <c r="D704" s="1" t="str">
        <f t="shared" si="27"/>
        <v>4F西文書庫 4F Western Language Books</v>
      </c>
      <c r="E704" s="1" t="str">
        <f>("QA76.3 O48 1999")</f>
        <v>QA76.3 O48 1999</v>
      </c>
    </row>
    <row r="705" spans="2:9" x14ac:dyDescent="0.25">
      <c r="B705" s="1" t="str">
        <f>("W00002630")</f>
        <v>W00002630</v>
      </c>
      <c r="C705" s="1" t="str">
        <f>("Complete Java 2 certification study guide /")</f>
        <v>Complete Java 2 certification study guide /</v>
      </c>
      <c r="D705" s="1" t="str">
        <f t="shared" si="27"/>
        <v>4F西文書庫 4F Western Language Books</v>
      </c>
      <c r="E705" s="1" t="str">
        <f>("QA76.3 R643 2000")</f>
        <v>QA76.3 R643 2000</v>
      </c>
    </row>
    <row r="706" spans="2:9" x14ac:dyDescent="0.25">
      <c r="B706" s="1" t="str">
        <f>("W00002688")</f>
        <v>W00002688</v>
      </c>
      <c r="C706" s="1" t="str">
        <f>("CCNA Cisco certified network administrator study guide (exam 640-507) / ")</f>
        <v xml:space="preserve">CCNA Cisco certified network administrator study guide (exam 640-507) / </v>
      </c>
      <c r="D706" s="1" t="str">
        <f t="shared" si="27"/>
        <v>4F西文書庫 4F Western Language Books</v>
      </c>
      <c r="E706" s="1" t="str">
        <f>("QA76.3 S993 2000")</f>
        <v>QA76.3 S993 2000</v>
      </c>
    </row>
    <row r="707" spans="2:9" x14ac:dyDescent="0.25">
      <c r="B707" s="1" t="str">
        <f>("W00002612")</f>
        <v>W00002612</v>
      </c>
      <c r="C707" s="1" t="str">
        <f>("MCDBA SQL Server 7.0 administration study guide : (Exam 70-28) / ")</f>
        <v xml:space="preserve">MCDBA SQL Server 7.0 administration study guide : (Exam 70-28) / </v>
      </c>
      <c r="D707" s="1" t="str">
        <f t="shared" si="27"/>
        <v>4F西文書庫 4F Western Language Books</v>
      </c>
      <c r="E707" s="1" t="str">
        <f>("QA76.3 S993-2 1999")</f>
        <v>QA76.3 S993-2 1999</v>
      </c>
    </row>
    <row r="708" spans="2:9" x14ac:dyDescent="0.25">
      <c r="B708" s="1" t="str">
        <f>("W00002993")</f>
        <v>W00002993</v>
      </c>
      <c r="C708" s="1" t="str">
        <f>("IT certification success / ")</f>
        <v xml:space="preserve">IT certification success / </v>
      </c>
      <c r="D708" s="1" t="str">
        <f t="shared" si="27"/>
        <v>4F西文書庫 4F Western Language Books</v>
      </c>
      <c r="E708" s="1" t="str">
        <f>("QA76.3 T622-2 2000")</f>
        <v>QA76.3 T622-2 2000</v>
      </c>
      <c r="G708" s="1" t="str">
        <f>("xx, 220 p. ; ")</f>
        <v xml:space="preserve">xx, 220 p. ; </v>
      </c>
      <c r="I708" s="1" t="str">
        <f>("23 cm. ")</f>
        <v xml:space="preserve">23 cm. </v>
      </c>
    </row>
    <row r="709" spans="2:9" x14ac:dyDescent="0.25">
      <c r="B709" s="1" t="str">
        <f>("W00002615")</f>
        <v>W00002615</v>
      </c>
      <c r="C709" s="1" t="str">
        <f>("i-Net+ certification all-in-one exam guide / ")</f>
        <v xml:space="preserve">i-Net+ certification all-in-one exam guide / </v>
      </c>
      <c r="D709" s="1" t="str">
        <f t="shared" si="27"/>
        <v>4F西文書庫 4F Western Language Books</v>
      </c>
      <c r="E709" s="1" t="str">
        <f>("QA76.3 Z41 2000")</f>
        <v>QA76.3 Z41 2000</v>
      </c>
    </row>
    <row r="710" spans="2:9" x14ac:dyDescent="0.25">
      <c r="B710" s="1" t="str">
        <f>("W00003243")</f>
        <v>W00003243</v>
      </c>
      <c r="C710" s="1" t="str">
        <f>("101 computer answers you need to know /")</f>
        <v>101 computer answers you need to know /</v>
      </c>
      <c r="D710" s="1" t="str">
        <f t="shared" si="27"/>
        <v>4F西文書庫 4F Western Language Books</v>
      </c>
      <c r="E710" s="1" t="str">
        <f>("QA76.5 S648 1995")</f>
        <v>QA76.5 S648 1995</v>
      </c>
    </row>
    <row r="711" spans="2:9" x14ac:dyDescent="0.25">
      <c r="B711" s="1" t="str">
        <f>("W00002637")</f>
        <v>W00002637</v>
      </c>
      <c r="C711" s="1" t="str">
        <f>("Math toolkit for real-time programming /")</f>
        <v>Math toolkit for real-time programming /</v>
      </c>
      <c r="D711" s="1" t="str">
        <f t="shared" si="27"/>
        <v>4F西文書庫 4F Western Language Books</v>
      </c>
      <c r="E711" s="1" t="str">
        <f>("QA76.54 C912 2000")</f>
        <v>QA76.54 C912 2000</v>
      </c>
    </row>
    <row r="712" spans="2:9" x14ac:dyDescent="0.25">
      <c r="B712" s="1" t="str">
        <f>("W00002678")</f>
        <v>W00002678</v>
      </c>
      <c r="C712" s="1" t="str">
        <f>("Real-time programming : a guide to 32-bit embedded development / ")</f>
        <v xml:space="preserve">Real-time programming : a guide to 32-bit embedded development / </v>
      </c>
      <c r="D712" s="1" t="str">
        <f t="shared" si="27"/>
        <v>4F西文書庫 4F Western Language Books</v>
      </c>
      <c r="E712" s="1" t="str">
        <f>("QA76.54 G786 1998")</f>
        <v>QA76.54 G786 1998</v>
      </c>
    </row>
    <row r="713" spans="2:9" x14ac:dyDescent="0.25">
      <c r="B713" s="1" t="str">
        <f>("W00003249")</f>
        <v>W00003249</v>
      </c>
      <c r="C713" s="1" t="str">
        <f>("Introduction to parallel computing /")</f>
        <v>Introduction to parallel computing /</v>
      </c>
      <c r="D713" s="1" t="str">
        <f t="shared" si="27"/>
        <v>4F西文書庫 4F Western Language Books</v>
      </c>
      <c r="E713" s="1" t="str">
        <f>("QA76.58 L676 1992")</f>
        <v>QA76.58 L676 1992</v>
      </c>
    </row>
    <row r="714" spans="2:9" x14ac:dyDescent="0.25">
      <c r="B714" s="1" t="str">
        <f>("W00002842")</f>
        <v>W00002842</v>
      </c>
      <c r="C714" s="1" t="str">
        <f>("Oracle parallel processing / ")</f>
        <v xml:space="preserve">Oracle parallel processing / </v>
      </c>
      <c r="D714" s="1" t="str">
        <f t="shared" si="27"/>
        <v>4F西文書庫 4F Western Language Books</v>
      </c>
      <c r="E714" s="1" t="str">
        <f>("QA76.58 M214 2000")</f>
        <v>QA76.58 M214 2000</v>
      </c>
    </row>
    <row r="715" spans="2:9" x14ac:dyDescent="0.25">
      <c r="B715" s="1" t="str">
        <f>("W00002670")</f>
        <v>W00002670</v>
      </c>
      <c r="C715" s="1" t="str">
        <f>("The practice of programming / ")</f>
        <v xml:space="preserve">The practice of programming / </v>
      </c>
      <c r="D715" s="1" t="str">
        <f t="shared" si="27"/>
        <v>4F西文書庫 4F Western Language Books</v>
      </c>
      <c r="E715" s="1" t="str">
        <f>("QA76.6 K39 1999")</f>
        <v>QA76.6 K39 1999</v>
      </c>
    </row>
    <row r="716" spans="2:9" x14ac:dyDescent="0.25">
      <c r="B716" s="1" t="str">
        <f>("W00002660")</f>
        <v>W00002660</v>
      </c>
      <c r="C716" s="1" t="str">
        <f>("International programming for Microsoft Windows / ")</f>
        <v xml:space="preserve">International programming for Microsoft Windows / </v>
      </c>
      <c r="D716" s="1" t="str">
        <f t="shared" si="27"/>
        <v>4F西文書庫 4F Western Language Books</v>
      </c>
      <c r="E716" s="1" t="str">
        <f>("QA76.6 S355 2000")</f>
        <v>QA76.6 S355 2000</v>
      </c>
    </row>
    <row r="717" spans="2:9" x14ac:dyDescent="0.25">
      <c r="B717" s="1" t="str">
        <f>("W00002916")</f>
        <v>W00002916</v>
      </c>
      <c r="C717" s="1" t="str">
        <f>("Generative programming : methods, tools, and applications / ")</f>
        <v xml:space="preserve">Generative programming : methods, tools, and applications / </v>
      </c>
      <c r="D717" s="1" t="str">
        <f t="shared" si="27"/>
        <v>4F西文書庫 4F Western Language Books</v>
      </c>
      <c r="E717" s="1" t="str">
        <f>("QA76.624 C998 2000")</f>
        <v>QA76.624 C998 2000</v>
      </c>
      <c r="G717" s="1" t="str">
        <f>("xxvi, 832 p. : ")</f>
        <v xml:space="preserve">xxvi, 832 p. : </v>
      </c>
      <c r="H717" s="1" t="str">
        <f>("ill. ; ")</f>
        <v xml:space="preserve">ill. ; </v>
      </c>
      <c r="I717" s="1" t="str">
        <f>("23 cm. ")</f>
        <v xml:space="preserve">23 cm. </v>
      </c>
    </row>
    <row r="718" spans="2:9" x14ac:dyDescent="0.25">
      <c r="B718" s="1" t="str">
        <f>("W00002651")</f>
        <v>W00002651</v>
      </c>
      <c r="C718" s="1" t="str">
        <f>("Debugging ASP : troubleshooting for programmers / ")</f>
        <v xml:space="preserve">Debugging ASP : troubleshooting for programmers / </v>
      </c>
      <c r="D718" s="1" t="str">
        <f t="shared" si="27"/>
        <v>4F西文書庫 4F Western Language Books</v>
      </c>
      <c r="E718" s="1" t="str">
        <f>("QA76.625 F353 2000")</f>
        <v>QA76.625 F353 2000</v>
      </c>
    </row>
    <row r="719" spans="2:9" x14ac:dyDescent="0.25">
      <c r="B719" s="1" t="str">
        <f>("W00002758")</f>
        <v>W00002758</v>
      </c>
      <c r="C719" s="1" t="str">
        <f>("Java network programming / ")</f>
        <v xml:space="preserve">Java network programming / </v>
      </c>
      <c r="D719" s="1" t="str">
        <f t="shared" si="27"/>
        <v>4F西文書庫 4F Western Language Books</v>
      </c>
      <c r="E719" s="1" t="str">
        <f>("QA76.625 H292 2000")</f>
        <v>QA76.625 H292 2000</v>
      </c>
    </row>
    <row r="720" spans="2:9" x14ac:dyDescent="0.25">
      <c r="B720" s="1" t="str">
        <f>("W00003271")</f>
        <v>W00003271</v>
      </c>
      <c r="C720" s="1" t="str">
        <f>("Teach yourself ActiveX programming in 21 days /")</f>
        <v>Teach yourself ActiveX programming in 21 days /</v>
      </c>
      <c r="D720" s="1" t="str">
        <f t="shared" si="27"/>
        <v>4F西文書庫 4F Western Language Books</v>
      </c>
      <c r="E720" s="1" t="str">
        <f>("QA76.625 K21 1996")</f>
        <v>QA76.625 K21 1996</v>
      </c>
    </row>
    <row r="721" spans="2:10" x14ac:dyDescent="0.25">
      <c r="B721" s="1" t="str">
        <f>("W00002693")</f>
        <v>W00002693</v>
      </c>
      <c r="C721" s="1" t="str">
        <f>("Advanced Domino 5 Web programming / ")</f>
        <v xml:space="preserve">Advanced Domino 5 Web programming / </v>
      </c>
      <c r="D721" s="1" t="str">
        <f t="shared" si="27"/>
        <v>4F西文書庫 4F Western Language Books</v>
      </c>
      <c r="E721" s="1" t="str">
        <f>("QA76.625 K29 1999")</f>
        <v>QA76.625 K29 1999</v>
      </c>
    </row>
    <row r="722" spans="2:10" x14ac:dyDescent="0.25">
      <c r="B722" s="1" t="str">
        <f>("W00002740")</f>
        <v>W00002740</v>
      </c>
      <c r="C722" s="1" t="str">
        <f>("Effective TCP/IP programming : 44 tips to improve your network programming / ")</f>
        <v xml:space="preserve">Effective TCP/IP programming : 44 tips to improve your network programming / </v>
      </c>
      <c r="D722" s="1" t="str">
        <f t="shared" si="27"/>
        <v>4F西文書庫 4F Western Language Books</v>
      </c>
      <c r="E722" s="1" t="str">
        <f>("QA76.625 S669 2000")</f>
        <v>QA76.625 S669 2000</v>
      </c>
    </row>
    <row r="723" spans="2:10" x14ac:dyDescent="0.25">
      <c r="B723" s="1" t="str">
        <f>("W00002671")</f>
        <v>W00002671</v>
      </c>
      <c r="C723" s="1" t="str">
        <f>("Practical internet groupware / ")</f>
        <v xml:space="preserve">Practical internet groupware / </v>
      </c>
      <c r="D723" s="1" t="str">
        <f t="shared" si="27"/>
        <v>4F西文書庫 4F Western Language Books</v>
      </c>
      <c r="E723" s="1" t="str">
        <f>("QA76.625 U19 1999")</f>
        <v>QA76.625 U19 1999</v>
      </c>
    </row>
    <row r="724" spans="2:10" x14ac:dyDescent="0.25">
      <c r="B724" s="1" t="str">
        <f>("W00002590")</f>
        <v>W00002590</v>
      </c>
      <c r="C724" s="1" t="str">
        <f>("Essential COM  ")</f>
        <v xml:space="preserve">Essential COM  </v>
      </c>
      <c r="D724" s="1" t="str">
        <f t="shared" si="27"/>
        <v>4F西文書庫 4F Western Language Books</v>
      </c>
      <c r="E724" s="1" t="str">
        <f>("QA76.64 B662 1998")</f>
        <v>QA76.64 B662 1998</v>
      </c>
    </row>
    <row r="725" spans="2:10" x14ac:dyDescent="0.25">
      <c r="B725" s="1" t="str">
        <f>("W00003252")</f>
        <v>W00003252</v>
      </c>
      <c r="C725" s="1" t="str">
        <f>("An introduction to object-oriented programming /")</f>
        <v>An introduction to object-oriented programming /</v>
      </c>
      <c r="D725" s="1" t="str">
        <f t="shared" si="27"/>
        <v>4F西文書庫 4F Western Language Books</v>
      </c>
      <c r="E725" s="1" t="str">
        <f>("QA76.64 B927-2 1997")</f>
        <v>QA76.64 B927-2 1997</v>
      </c>
      <c r="G725" s="1" t="str">
        <f>("xviii, 452 p. :")</f>
        <v>xviii, 452 p. :</v>
      </c>
      <c r="H725" s="1" t="str">
        <f>("ill. ;")</f>
        <v>ill. ;</v>
      </c>
      <c r="I725" s="1" t="str">
        <f>("24 cm.")</f>
        <v>24 cm.</v>
      </c>
    </row>
    <row r="726" spans="2:10" x14ac:dyDescent="0.25">
      <c r="B726" s="1" t="str">
        <f>("W00002801")</f>
        <v>W00002801</v>
      </c>
      <c r="C726" s="1" t="str">
        <f>("Squeak :object-oriented design with multimedia applications /")</f>
        <v>Squeak :object-oriented design with multimedia applications /</v>
      </c>
      <c r="D726" s="1" t="str">
        <f t="shared" si="27"/>
        <v>4F西文書庫 4F Western Language Books</v>
      </c>
      <c r="E726" s="1" t="str">
        <f>("QA76.64 G993 2000")</f>
        <v>QA76.64 G993 2000</v>
      </c>
      <c r="G726" s="1" t="str">
        <f>("xxi, 306 p. :")</f>
        <v>xxi, 306 p. :</v>
      </c>
      <c r="H726" s="1" t="str">
        <f>("ill. ;")</f>
        <v>ill. ;</v>
      </c>
      <c r="I726" s="1" t="str">
        <f>("24 cm. +")</f>
        <v>24 cm. +</v>
      </c>
      <c r="J726" s="1" t="str">
        <f>("1 computer laser optical disc (4 3/4 in.)")</f>
        <v>1 computer laser optical disc (4 3/4 in.)</v>
      </c>
    </row>
    <row r="727" spans="2:10" x14ac:dyDescent="0.25">
      <c r="B727" s="1" t="str">
        <f>("W00003263")</f>
        <v>W00003263</v>
      </c>
      <c r="C727" s="1" t="str">
        <f>("An introduction to object-oriented design in C++ /")</f>
        <v>An introduction to object-oriented design in C++ /</v>
      </c>
      <c r="D727" s="1" t="str">
        <f>("罕用書庫1-洽櫃台填單 Upon-Request Collection1 fil")</f>
        <v>罕用書庫1-洽櫃台填單 Upon-Request Collection1 fil</v>
      </c>
      <c r="E727" s="1" t="str">
        <f>("QA76.64 P463 1996 c.3")</f>
        <v>QA76.64 P463 1996 c.3</v>
      </c>
      <c r="G727" s="1" t="str">
        <f>("xiv, 866 p. :")</f>
        <v>xiv, 866 p. :</v>
      </c>
      <c r="H727" s="1" t="str">
        <f>("ill. ;")</f>
        <v>ill. ;</v>
      </c>
      <c r="I727" s="1" t="str">
        <f>("24 cm.")</f>
        <v>24 cm.</v>
      </c>
    </row>
    <row r="728" spans="2:10" x14ac:dyDescent="0.25">
      <c r="B728" s="1" t="str">
        <f>("W00002715")</f>
        <v>W00002715</v>
      </c>
      <c r="C728" s="1" t="str">
        <f>("Designing flexible object-oriented systems with UML / ")</f>
        <v xml:space="preserve">Designing flexible object-oriented systems with UML / </v>
      </c>
      <c r="D728" s="1" t="str">
        <f t="shared" ref="D728:D759" si="28">("4F西文書庫 4F Western Language Books")</f>
        <v>4F西文書庫 4F Western Language Books</v>
      </c>
      <c r="E728" s="1" t="str">
        <f>("QA76.64 R535 1999")</f>
        <v>QA76.64 R535 1999</v>
      </c>
      <c r="G728" s="1" t="str">
        <f>("xii, 404 p. : ")</f>
        <v xml:space="preserve">xii, 404 p. : </v>
      </c>
      <c r="H728" s="1" t="str">
        <f>("ill. ; ")</f>
        <v xml:space="preserve">ill. ; </v>
      </c>
      <c r="I728" s="1" t="str">
        <f>("23 cm. ")</f>
        <v xml:space="preserve">23 cm. </v>
      </c>
    </row>
    <row r="729" spans="2:10" x14ac:dyDescent="0.25">
      <c r="B729" s="1" t="str">
        <f>("W00002875")</f>
        <v>W00002875</v>
      </c>
      <c r="C729" s="1" t="str">
        <f>("MICO : an open source CORBA implementation / ")</f>
        <v xml:space="preserve">MICO : an open source CORBA implementation / </v>
      </c>
      <c r="D729" s="1" t="str">
        <f t="shared" si="28"/>
        <v>4F西文書庫 4F Western Language Books</v>
      </c>
      <c r="E729" s="1" t="str">
        <f>("QA76.64. P976 2000")</f>
        <v>QA76.64. P976 2000</v>
      </c>
      <c r="G729" s="1" t="str">
        <f>("xix, 195 p. ; ")</f>
        <v xml:space="preserve">xix, 195 p. ; </v>
      </c>
      <c r="I729" s="1" t="str">
        <f>("23 cm. + ")</f>
        <v xml:space="preserve">23 cm. + </v>
      </c>
      <c r="J729" s="1" t="str">
        <f>(" 1 computer optical disc (4 3/4 in.) ")</f>
        <v xml:space="preserve"> 1 computer optical disc (4 3/4 in.) </v>
      </c>
    </row>
    <row r="730" spans="2:10" x14ac:dyDescent="0.25">
      <c r="B730" s="1" t="str">
        <f>("W00002585")</f>
        <v>W00002585</v>
      </c>
      <c r="C730" s="1" t="str">
        <f>("Fundamentals of object-oriented design in UML / ")</f>
        <v xml:space="preserve">Fundamentals of object-oriented design in UML / </v>
      </c>
      <c r="D730" s="1" t="str">
        <f t="shared" si="28"/>
        <v>4F西文書庫 4F Western Language Books</v>
      </c>
      <c r="E730" s="1" t="str">
        <f>("QA76.64.P33 P77 2000")</f>
        <v>QA76.64.P33 P77 2000</v>
      </c>
    </row>
    <row r="731" spans="2:10" x14ac:dyDescent="0.25">
      <c r="B731" s="1" t="str">
        <f>("W00002657")</f>
        <v>W00002657</v>
      </c>
      <c r="C731" s="1" t="str">
        <f>("The art &amp; science of Web design / ")</f>
        <v xml:space="preserve">The art &amp; science of Web design / </v>
      </c>
      <c r="D731" s="1" t="str">
        <f t="shared" si="28"/>
        <v>4F西文書庫 4F Western Language Books</v>
      </c>
      <c r="E731" s="1" t="str">
        <f>("QA76.65 V418 2001")</f>
        <v>QA76.65 V418 2001</v>
      </c>
    </row>
    <row r="732" spans="2:10" x14ac:dyDescent="0.25">
      <c r="B732" s="1" t="str">
        <f>("W00002663")</f>
        <v>W00002663</v>
      </c>
      <c r="C732" s="1" t="str">
        <f>("The Java programming language / ")</f>
        <v xml:space="preserve">The Java programming language / </v>
      </c>
      <c r="D732" s="1" t="str">
        <f t="shared" si="28"/>
        <v>4F西文書庫 4F Western Language Books</v>
      </c>
      <c r="E732" s="1" t="str">
        <f>("QA76.73 A752 2000")</f>
        <v>QA76.73 A752 2000</v>
      </c>
    </row>
    <row r="733" spans="2:10" x14ac:dyDescent="0.25">
      <c r="B733" s="1" t="str">
        <f>("W00002770")</f>
        <v>W00002770</v>
      </c>
      <c r="C733" s="1" t="str">
        <f>("Java 2 and Javascript for C and C++ programmers / ")</f>
        <v xml:space="preserve">Java 2 and Javascript for C and C++ programmers / </v>
      </c>
      <c r="D733" s="1" t="str">
        <f t="shared" si="28"/>
        <v>4F西文書庫 4F Western Language Books</v>
      </c>
      <c r="E733" s="1" t="str">
        <f>("QA76.73 D117 1999")</f>
        <v>QA76.73 D117 1999</v>
      </c>
    </row>
    <row r="734" spans="2:10" x14ac:dyDescent="0.25">
      <c r="B734" s="1" t="str">
        <f>("W00002908")</f>
        <v>W00002908</v>
      </c>
      <c r="C734" s="1" t="str">
        <f>("Cross-platform Perl / ")</f>
        <v xml:space="preserve">Cross-platform Perl / </v>
      </c>
      <c r="D734" s="1" t="str">
        <f t="shared" si="28"/>
        <v>4F西文書庫 4F Western Language Books</v>
      </c>
      <c r="E734" s="1" t="str">
        <f>("QA76.73 F754 2000")</f>
        <v>QA76.73 F754 2000</v>
      </c>
    </row>
    <row r="735" spans="2:10" x14ac:dyDescent="0.25">
      <c r="B735" s="1" t="str">
        <f>("W00002675")</f>
        <v>W00002675</v>
      </c>
      <c r="C735" s="1" t="str">
        <f>("Pure Java Server pages / ")</f>
        <v xml:space="preserve">Pure Java Server pages / </v>
      </c>
      <c r="D735" s="1" t="str">
        <f t="shared" si="28"/>
        <v>4F西文書庫 4F Western Language Books</v>
      </c>
      <c r="E735" s="1" t="str">
        <f>("QA76.73 G157 2000")</f>
        <v>QA76.73 G157 2000</v>
      </c>
    </row>
    <row r="736" spans="2:10" x14ac:dyDescent="0.25">
      <c r="B736" s="1" t="str">
        <f>("W00002784")</f>
        <v>W00002784</v>
      </c>
      <c r="C736" s="1" t="str">
        <f>("Instant Java servlets / ")</f>
        <v xml:space="preserve">Instant Java servlets / </v>
      </c>
      <c r="D736" s="1" t="str">
        <f t="shared" si="28"/>
        <v>4F西文書庫 4F Western Language Books</v>
      </c>
      <c r="E736" s="1" t="str">
        <f>("QA76.73 H243 2000")</f>
        <v>QA76.73 H243 2000</v>
      </c>
    </row>
    <row r="737" spans="2:5" x14ac:dyDescent="0.25">
      <c r="B737" s="1" t="str">
        <f>("W00002603")</f>
        <v>W00002603</v>
      </c>
      <c r="C737" s="1" t="str">
        <f>("Firebrands : building brand loyalty in the Internet age / ")</f>
        <v xml:space="preserve">Firebrands : building brand loyalty in the Internet age / </v>
      </c>
      <c r="D737" s="1" t="str">
        <f t="shared" si="28"/>
        <v>4F西文書庫 4F Western Language Books</v>
      </c>
      <c r="E737" s="1" t="str">
        <f>("QA76.73 M818 2000")</f>
        <v>QA76.73 M818 2000</v>
      </c>
    </row>
    <row r="738" spans="2:5" x14ac:dyDescent="0.25">
      <c r="B738" s="1" t="str">
        <f>("W00002775")</f>
        <v>W00002775</v>
      </c>
      <c r="C738" s="1" t="str">
        <f>("Instant Perl modules / ")</f>
        <v xml:space="preserve">Instant Perl modules / </v>
      </c>
      <c r="D738" s="1" t="str">
        <f t="shared" si="28"/>
        <v>4F西文書庫 4F Western Language Books</v>
      </c>
      <c r="E738" s="1" t="str">
        <f>("QA76.73 S736 2001")</f>
        <v>QA76.73 S736 2001</v>
      </c>
    </row>
    <row r="739" spans="2:5" x14ac:dyDescent="0.25">
      <c r="B739" s="1" t="str">
        <f>("W00002766")</f>
        <v>W00002766</v>
      </c>
      <c r="C739" s="1" t="str">
        <f>("Inside the Java virtual machine / ")</f>
        <v xml:space="preserve">Inside the Java virtual machine / </v>
      </c>
      <c r="D739" s="1" t="str">
        <f t="shared" si="28"/>
        <v>4F西文書庫 4F Western Language Books</v>
      </c>
      <c r="E739" s="1" t="str">
        <f>("QA76.73 V463 1999")</f>
        <v>QA76.73 V463 1999</v>
      </c>
    </row>
    <row r="740" spans="2:5" x14ac:dyDescent="0.25">
      <c r="B740" s="1" t="str">
        <f>("W00002636")</f>
        <v>W00002636</v>
      </c>
      <c r="C740" s="1" t="str">
        <f>("Developing secure applications with Visual Basic /")</f>
        <v>Developing secure applications with Visual Basic /</v>
      </c>
      <c r="D740" s="1" t="str">
        <f t="shared" si="28"/>
        <v>4F西文書庫 4F Western Language Books</v>
      </c>
      <c r="E740" s="1" t="str">
        <f>("QA76.73.B3 C465 2000")</f>
        <v>QA76.73.B3 C465 2000</v>
      </c>
    </row>
    <row r="741" spans="2:5" x14ac:dyDescent="0.25">
      <c r="B741" s="1" t="str">
        <f>("W00002936")</f>
        <v>W00002936</v>
      </c>
      <c r="C741" s="1" t="str">
        <f>("VB &amp; VBA in a nutshell : the language / ")</f>
        <v xml:space="preserve">VB &amp; VBA in a nutshell : the language / </v>
      </c>
      <c r="D741" s="1" t="str">
        <f t="shared" si="28"/>
        <v>4F西文書庫 4F Western Language Books</v>
      </c>
      <c r="E741" s="1" t="str">
        <f>("QA76.73.B3 L839 1998")</f>
        <v>QA76.73.B3 L839 1998</v>
      </c>
    </row>
    <row r="742" spans="2:5" x14ac:dyDescent="0.25">
      <c r="B742" s="1" t="str">
        <f>("W00002883")</f>
        <v>W00002883</v>
      </c>
      <c r="C742" s="1" t="str">
        <f>("Developing Visual Basic add-ins /")</f>
        <v>Developing Visual Basic add-ins /</v>
      </c>
      <c r="D742" s="1" t="str">
        <f t="shared" si="28"/>
        <v>4F西文書庫 4F Western Language Books</v>
      </c>
      <c r="E742" s="1" t="str">
        <f>("QA76.73.B3 R758 1999")</f>
        <v>QA76.73.B3 R758 1999</v>
      </c>
    </row>
    <row r="743" spans="2:5" x14ac:dyDescent="0.25">
      <c r="B743" s="1" t="str">
        <f>("W00002818")</f>
        <v>W00002818</v>
      </c>
      <c r="C743" s="1" t="str">
        <f>("C#Essentials ")</f>
        <v xml:space="preserve">C#Essentials </v>
      </c>
      <c r="D743" s="1" t="str">
        <f t="shared" si="28"/>
        <v>4F西文書庫 4F Western Language Books</v>
      </c>
      <c r="E743" s="1" t="str">
        <f>("QA76.73.C15 A326 2001")</f>
        <v>QA76.73.C15 A326 2001</v>
      </c>
    </row>
    <row r="744" spans="2:5" x14ac:dyDescent="0.25">
      <c r="B744" s="1" t="str">
        <f>("W00002677")</f>
        <v>W00002677</v>
      </c>
      <c r="C744" s="1" t="str">
        <f>("C/C++ annotated archives /")</f>
        <v>C/C++ annotated archives /</v>
      </c>
      <c r="D744" s="1" t="str">
        <f t="shared" si="28"/>
        <v>4F西文書庫 4F Western Language Books</v>
      </c>
      <c r="E744" s="1" t="str">
        <f>("QA76.73.C15 F911 1999")</f>
        <v>QA76.73.C15 F911 1999</v>
      </c>
    </row>
    <row r="745" spans="2:5" x14ac:dyDescent="0.25">
      <c r="B745" s="1" t="str">
        <f>("W00003269")</f>
        <v>W00003269</v>
      </c>
      <c r="C745" s="1" t="str">
        <f>("Practical C programming /")</f>
        <v>Practical C programming /</v>
      </c>
      <c r="D745" s="1" t="str">
        <f t="shared" si="28"/>
        <v>4F西文書庫 4F Western Language Books</v>
      </c>
      <c r="E745" s="1" t="str">
        <f>("QA76.73.C15 O93 1997")</f>
        <v>QA76.73.C15 O93 1997</v>
      </c>
    </row>
    <row r="746" spans="2:5" x14ac:dyDescent="0.25">
      <c r="B746" s="1" t="str">
        <f>("W00003231")</f>
        <v>W00003231</v>
      </c>
      <c r="C746" s="1" t="str">
        <f>("Advanced C primer ++ /")</f>
        <v>Advanced C primer ++ /</v>
      </c>
      <c r="D746" s="1" t="str">
        <f t="shared" si="28"/>
        <v>4F西文書庫 4F Western Language Books</v>
      </c>
      <c r="E746" s="1" t="str">
        <f>("QA76.73.C15 P912 1986")</f>
        <v>QA76.73.C15 P912 1986</v>
      </c>
    </row>
    <row r="747" spans="2:5" x14ac:dyDescent="0.25">
      <c r="B747" s="1" t="str">
        <f>("W00002696")</f>
        <v>W00002696</v>
      </c>
      <c r="C747" s="1" t="str">
        <f>("C, the complete reference / ")</f>
        <v xml:space="preserve">C, the complete reference / </v>
      </c>
      <c r="D747" s="1" t="str">
        <f t="shared" si="28"/>
        <v>4F西文書庫 4F Western Language Books</v>
      </c>
      <c r="E747" s="1" t="str">
        <f>("QA76.73.C15 S334 2000")</f>
        <v>QA76.73.C15 S334 2000</v>
      </c>
    </row>
    <row r="748" spans="2:5" x14ac:dyDescent="0.25">
      <c r="B748" s="1" t="str">
        <f>("W00002620")</f>
        <v>W00002620</v>
      </c>
      <c r="C748" s="1" t="str">
        <f>("C Programming for embedded systems")</f>
        <v>C Programming for embedded systems</v>
      </c>
      <c r="D748" s="1" t="str">
        <f t="shared" si="28"/>
        <v>4F西文書庫 4F Western Language Books</v>
      </c>
      <c r="E748" s="1" t="str">
        <f>("QA76.73.C15 Z96 2000")</f>
        <v>QA76.73.C15 Z96 2000</v>
      </c>
    </row>
    <row r="749" spans="2:5" x14ac:dyDescent="0.25">
      <c r="B749" s="1" t="str">
        <f>("W00002922")</f>
        <v>W00002922</v>
      </c>
      <c r="C749" s="1" t="str">
        <f>("Generic programming and the STL : using and extending the C++ Standard Template Library / ")</f>
        <v xml:space="preserve">Generic programming and the STL : using and extending the C++ Standard Template Library / </v>
      </c>
      <c r="D749" s="1" t="str">
        <f t="shared" si="28"/>
        <v>4F西文書庫 4F Western Language Books</v>
      </c>
      <c r="E749" s="1" t="str">
        <f>("QA76.73.C153 A933 1999")</f>
        <v>QA76.73.C153 A933 1999</v>
      </c>
    </row>
    <row r="750" spans="2:5" x14ac:dyDescent="0.25">
      <c r="B750" s="1" t="str">
        <f>("W00002682")</f>
        <v>W00002682</v>
      </c>
      <c r="C750" s="1" t="str">
        <f>("Efficient C++ : performance programming techniques / ")</f>
        <v xml:space="preserve">Efficient C++ : performance programming techniques / </v>
      </c>
      <c r="D750" s="1" t="str">
        <f t="shared" si="28"/>
        <v>4F西文書庫 4F Western Language Books</v>
      </c>
      <c r="E750" s="1" t="str">
        <f>("QA76.73.C153 B934 2000")</f>
        <v>QA76.73.C153 B934 2000</v>
      </c>
    </row>
    <row r="751" spans="2:5" x14ac:dyDescent="0.25">
      <c r="B751" s="1" t="str">
        <f>("W00002820")</f>
        <v>W00002820</v>
      </c>
      <c r="C751" s="1" t="str">
        <f>("C++ FAQs /")</f>
        <v>C++ FAQs /</v>
      </c>
      <c r="D751" s="1" t="str">
        <f t="shared" si="28"/>
        <v>4F西文書庫 4F Western Language Books</v>
      </c>
      <c r="E751" s="1" t="str">
        <f>("QA76.73.C153 C641 1998")</f>
        <v>QA76.73.C153 C641 1998</v>
      </c>
    </row>
    <row r="752" spans="2:5" x14ac:dyDescent="0.25">
      <c r="B752" s="1" t="str">
        <f>("W00002823")</f>
        <v>W00002823</v>
      </c>
      <c r="C752" s="1" t="str">
        <f>("Advanced CORBA programming with C++ / ")</f>
        <v xml:space="preserve">Advanced CORBA programming with C++ / </v>
      </c>
      <c r="D752" s="1" t="str">
        <f t="shared" si="28"/>
        <v>4F西文書庫 4F Western Language Books</v>
      </c>
      <c r="E752" s="1" t="str">
        <f>("QA76.73.C153 H517 1999")</f>
        <v>QA76.73.C153 H517 1999</v>
      </c>
    </row>
    <row r="753" spans="2:9" x14ac:dyDescent="0.25">
      <c r="B753" s="1" t="str">
        <f>("W00002609")</f>
        <v>W00002609</v>
      </c>
      <c r="C753" s="1" t="str">
        <f>("Programming industrial strength windows: shrink-wrap your app!/ ")</f>
        <v xml:space="preserve">Programming industrial strength windows: shrink-wrap your app!/ </v>
      </c>
      <c r="D753" s="1" t="str">
        <f t="shared" si="28"/>
        <v>4F西文書庫 4F Western Language Books</v>
      </c>
      <c r="E753" s="1" t="str">
        <f>("QA76.73.C153 H587 2000")</f>
        <v>QA76.73.C153 H587 2000</v>
      </c>
    </row>
    <row r="754" spans="2:9" x14ac:dyDescent="0.25">
      <c r="B754" s="1" t="str">
        <f>("W00003234")</f>
        <v>W00003234</v>
      </c>
      <c r="C754" s="1" t="str">
        <f>("Fundamentals of data structures in C++ /")</f>
        <v>Fundamentals of data structures in C++ /</v>
      </c>
      <c r="D754" s="1" t="str">
        <f t="shared" si="28"/>
        <v>4F西文書庫 4F Western Language Books</v>
      </c>
      <c r="E754" s="1" t="str">
        <f>("QA76.73.C153 H816 1995")</f>
        <v>QA76.73.C153 H816 1995</v>
      </c>
    </row>
    <row r="755" spans="2:9" x14ac:dyDescent="0.25">
      <c r="B755" s="1" t="str">
        <f>("W00002807")</f>
        <v>W00002807</v>
      </c>
      <c r="C755" s="1" t="str">
        <f>("Accelerated C++ :  practical programming by example / ")</f>
        <v xml:space="preserve">Accelerated C++ :  practical programming by example / </v>
      </c>
      <c r="D755" s="1" t="str">
        <f t="shared" si="28"/>
        <v>4F西文書庫 4F Western Language Books</v>
      </c>
      <c r="E755" s="1" t="str">
        <f>("QA76.73.C153 K78 2000")</f>
        <v>QA76.73.C153 K78 2000</v>
      </c>
    </row>
    <row r="756" spans="2:9" x14ac:dyDescent="0.25">
      <c r="B756" s="1" t="str">
        <f>("W00002599")</f>
        <v>W00002599</v>
      </c>
      <c r="C756" s="1" t="str">
        <f>("Essential C++ / ")</f>
        <v xml:space="preserve">Essential C++ / </v>
      </c>
      <c r="D756" s="1" t="str">
        <f t="shared" si="28"/>
        <v>4F西文書庫 4F Western Language Books</v>
      </c>
      <c r="E756" s="1" t="str">
        <f>("QA76.73.C153 L766 2000")</f>
        <v>QA76.73.C153 L766 2000</v>
      </c>
    </row>
    <row r="757" spans="2:9" x14ac:dyDescent="0.25">
      <c r="B757" s="1" t="str">
        <f>("W00002672")</f>
        <v>W00002672</v>
      </c>
      <c r="C757" s="1" t="str">
        <f>("Practical C++ programming / ")</f>
        <v xml:space="preserve">Practical C++ programming / </v>
      </c>
      <c r="D757" s="1" t="str">
        <f t="shared" si="28"/>
        <v>4F西文書庫 4F Western Language Books</v>
      </c>
      <c r="E757" s="1" t="str">
        <f>("QA76.73.C153 O93 1995")</f>
        <v>QA76.73.C153 O93 1995</v>
      </c>
    </row>
    <row r="758" spans="2:9" x14ac:dyDescent="0.25">
      <c r="B758" s="1" t="str">
        <f>("W00002788")</f>
        <v>W00002788</v>
      </c>
      <c r="C758" s="1" t="str">
        <f>("The C++ standard template library / ")</f>
        <v xml:space="preserve">The C++ standard template library / </v>
      </c>
      <c r="D758" s="1" t="str">
        <f t="shared" si="28"/>
        <v>4F西文書庫 4F Western Language Books</v>
      </c>
      <c r="E758" s="1" t="str">
        <f>("QA76.73.C153 P721 2001")</f>
        <v>QA76.73.C153 P721 2001</v>
      </c>
    </row>
    <row r="759" spans="2:9" x14ac:dyDescent="0.25">
      <c r="B759" s="1" t="str">
        <f>("W00002685")</f>
        <v>W00002685</v>
      </c>
      <c r="C759" s="1" t="str">
        <f>("C++ solutions : companion to The C++ programming language, Third edition / ")</f>
        <v xml:space="preserve">C++ solutions : companion to The C++ programming language, Third edition / </v>
      </c>
      <c r="D759" s="1" t="str">
        <f t="shared" si="28"/>
        <v>4F西文書庫 4F Western Language Books</v>
      </c>
      <c r="E759" s="1" t="str">
        <f>("QA76.73.C153 V244 1998")</f>
        <v>QA76.73.C153 V244 1998</v>
      </c>
    </row>
    <row r="760" spans="2:9" x14ac:dyDescent="0.25">
      <c r="B760" s="1" t="str">
        <f>("W00002592")</f>
        <v>W00002592</v>
      </c>
      <c r="C760" s="1" t="str">
        <f>("Essential IDL : interface design for COM / ")</f>
        <v xml:space="preserve">Essential IDL : interface design for COM / </v>
      </c>
      <c r="D760" s="1" t="str">
        <f t="shared" ref="D760:D796" si="29">("4F西文書庫 4F Western Language Books")</f>
        <v>4F西文書庫 4F Western Language Books</v>
      </c>
      <c r="E760" s="1" t="str">
        <f>("QA76.73.I194 G922 2000")</f>
        <v>QA76.73.I194 G922 2000</v>
      </c>
    </row>
    <row r="761" spans="2:9" x14ac:dyDescent="0.25">
      <c r="B761" s="1" t="str">
        <f>("W00002684")</f>
        <v>W00002684</v>
      </c>
      <c r="C761" s="1" t="str">
        <f>("Advanced techniques for Java developers / ")</f>
        <v xml:space="preserve">Advanced techniques for Java developers / </v>
      </c>
      <c r="D761" s="1" t="str">
        <f t="shared" si="29"/>
        <v>4F西文書庫 4F Western Language Books</v>
      </c>
      <c r="E761" s="1" t="str">
        <f>("QA76.73.J38 B493 1999")</f>
        <v>QA76.73.J38 B493 1999</v>
      </c>
    </row>
    <row r="762" spans="2:9" x14ac:dyDescent="0.25">
      <c r="B762" s="1" t="str">
        <f>("W00002729")</f>
        <v>W00002729</v>
      </c>
      <c r="C762" s="1" t="str">
        <f>("Distributed Java 2 platform : database development / ")</f>
        <v xml:space="preserve">Distributed Java 2 platform : database development / </v>
      </c>
      <c r="D762" s="1" t="str">
        <f t="shared" si="29"/>
        <v>4F西文書庫 4F Western Language Books</v>
      </c>
      <c r="E762" s="1" t="str">
        <f>("QA76.73.J38 B617 2001")</f>
        <v>QA76.73.J38 B617 2001</v>
      </c>
      <c r="G762" s="1" t="str">
        <f>("xxi, 276 p. : ")</f>
        <v xml:space="preserve">xxi, 276 p. : </v>
      </c>
      <c r="H762" s="1" t="str">
        <f>("ill. ; ")</f>
        <v xml:space="preserve">ill. ; </v>
      </c>
      <c r="I762" s="1" t="str">
        <f>("24 cm. ")</f>
        <v xml:space="preserve">24 cm. </v>
      </c>
    </row>
    <row r="763" spans="2:9" x14ac:dyDescent="0.25">
      <c r="B763" s="1" t="str">
        <f>("W00002805")</f>
        <v>W00002805</v>
      </c>
      <c r="C763" s="1" t="str">
        <f>("Java DEVELOPER'S GUIDE to E-Commerce with XML / ")</f>
        <v xml:space="preserve">Java DEVELOPER'S GUIDE to E-Commerce with XML / </v>
      </c>
      <c r="D763" s="1" t="str">
        <f t="shared" si="29"/>
        <v>4F西文書庫 4F Western Language Books</v>
      </c>
      <c r="E763" s="1" t="str">
        <f>("QA76.73.J38 B866 2001")</f>
        <v>QA76.73.J38 B866 2001</v>
      </c>
    </row>
    <row r="764" spans="2:9" x14ac:dyDescent="0.25">
      <c r="B764" s="1" t="str">
        <f>("W00002738")</f>
        <v>W00002738</v>
      </c>
      <c r="C764" s="1" t="str">
        <f>("Sams teach yourself Java 2 in 24 hours / ")</f>
        <v xml:space="preserve">Sams teach yourself Java 2 in 24 hours / </v>
      </c>
      <c r="D764" s="1" t="str">
        <f t="shared" si="29"/>
        <v>4F西文書庫 4F Western Language Books</v>
      </c>
      <c r="E764" s="1" t="str">
        <f>("QA76.73.J38 C122 2001")</f>
        <v>QA76.73.J38 C122 2001</v>
      </c>
    </row>
    <row r="765" spans="2:9" x14ac:dyDescent="0.25">
      <c r="B765" s="1" t="str">
        <f>("W00002858")</f>
        <v>W00002858</v>
      </c>
      <c r="C765" s="1" t="str">
        <f>("Java Card technology for Smart Cards : architecture and programmer's guide / ")</f>
        <v xml:space="preserve">Java Card technology for Smart Cards : architecture and programmer's guide / </v>
      </c>
      <c r="D765" s="1" t="str">
        <f t="shared" si="29"/>
        <v>4F西文書庫 4F Western Language Books</v>
      </c>
      <c r="E765" s="1" t="str">
        <f>("QA76.73.J38 C518 2000")</f>
        <v>QA76.73.J38 C518 2000</v>
      </c>
    </row>
    <row r="766" spans="2:9" x14ac:dyDescent="0.25">
      <c r="B766" s="1" t="str">
        <f>("W00002789")</f>
        <v>W00002789</v>
      </c>
      <c r="C766" s="1" t="str">
        <f>("Program generators with XML and Java /")</f>
        <v>Program generators with XML and Java /</v>
      </c>
      <c r="D766" s="1" t="str">
        <f t="shared" si="29"/>
        <v>4F西文書庫 4F Western Language Books</v>
      </c>
      <c r="E766" s="1" t="str">
        <f>("QA76.73.J38 C623 2001")</f>
        <v>QA76.73.J38 C623 2001</v>
      </c>
    </row>
    <row r="767" spans="2:9" x14ac:dyDescent="0.25">
      <c r="B767" s="1" t="str">
        <f>("W00003239")</f>
        <v>W00003239</v>
      </c>
      <c r="C767" s="1" t="str">
        <f>("Presenting Java /")</f>
        <v>Presenting Java /</v>
      </c>
      <c r="D767" s="1" t="str">
        <f t="shared" si="29"/>
        <v>4F西文書庫 4F Western Language Books</v>
      </c>
      <c r="E767" s="1" t="str">
        <f>("QA76.73.J38 D292 1995")</f>
        <v>QA76.73.J38 D292 1995</v>
      </c>
    </row>
    <row r="768" spans="2:9" x14ac:dyDescent="0.25">
      <c r="B768" s="1" t="str">
        <f>("W00002940")</f>
        <v>W00002940</v>
      </c>
      <c r="C768" s="1" t="str">
        <f>("Java foundation classes in a nutshell : a desktop quick reference / ")</f>
        <v xml:space="preserve">Java foundation classes in a nutshell : a desktop quick reference / </v>
      </c>
      <c r="D768" s="1" t="str">
        <f t="shared" si="29"/>
        <v>4F西文書庫 4F Western Language Books</v>
      </c>
      <c r="E768" s="1" t="str">
        <f>("QA76.73.J38 F583 1999")</f>
        <v>QA76.73.J38 F583 1999</v>
      </c>
    </row>
    <row r="769" spans="2:9" x14ac:dyDescent="0.25">
      <c r="B769" s="1" t="str">
        <f>("W00002935")</f>
        <v>W00002935</v>
      </c>
      <c r="C769" s="1" t="str">
        <f>("Java examples in a nutshell : a tutorial companion to Java in a nutshell / ")</f>
        <v xml:space="preserve">Java examples in a nutshell : a tutorial companion to Java in a nutshell / </v>
      </c>
      <c r="D769" s="1" t="str">
        <f t="shared" si="29"/>
        <v>4F西文書庫 4F Western Language Books</v>
      </c>
      <c r="E769" s="1" t="str">
        <f>("QA76.73.J38 F583-2 2000")</f>
        <v>QA76.73.J38 F583-2 2000</v>
      </c>
    </row>
    <row r="770" spans="2:9" x14ac:dyDescent="0.25">
      <c r="B770" s="1" t="str">
        <f>("W00002941")</f>
        <v>W00002941</v>
      </c>
      <c r="C770" s="1" t="str">
        <f>("Java enterprise in a nutshell : a desktop quick reference / ")</f>
        <v xml:space="preserve">Java enterprise in a nutshell : a desktop quick reference / </v>
      </c>
      <c r="D770" s="1" t="str">
        <f t="shared" si="29"/>
        <v>4F西文書庫 4F Western Language Books</v>
      </c>
      <c r="E770" s="1" t="str">
        <f>("QA76.73.J38 F583-3 1999")</f>
        <v>QA76.73.J38 F583-3 1999</v>
      </c>
    </row>
    <row r="771" spans="2:9" x14ac:dyDescent="0.25">
      <c r="B771" s="1" t="str">
        <f>("W00002664")</f>
        <v>W00002664</v>
      </c>
      <c r="C771" s="1" t="str">
        <f>("The Java language specification / ")</f>
        <v xml:space="preserve">The Java language specification / </v>
      </c>
      <c r="D771" s="1" t="str">
        <f t="shared" si="29"/>
        <v>4F西文書庫 4F Western Language Books</v>
      </c>
      <c r="E771" s="1" t="str">
        <f>("QA76.73.J38 G676 2000")</f>
        <v>QA76.73.J38 G676 2000</v>
      </c>
    </row>
    <row r="772" spans="2:9" x14ac:dyDescent="0.25">
      <c r="B772" s="1" t="str">
        <f>("W00002673")</f>
        <v>W00002673</v>
      </c>
      <c r="C772" s="1" t="str">
        <f>("Practical Java : programming language guide / ")</f>
        <v xml:space="preserve">Practical Java : programming language guide / </v>
      </c>
      <c r="D772" s="1" t="str">
        <f t="shared" si="29"/>
        <v>4F西文書庫 4F Western Language Books</v>
      </c>
      <c r="E772" s="1" t="str">
        <f>("QA76.73.J38 H145 2000")</f>
        <v>QA76.73.J38 H145 2000</v>
      </c>
    </row>
    <row r="773" spans="2:9" x14ac:dyDescent="0.25">
      <c r="B773" s="1" t="str">
        <f>("W00002813")</f>
        <v>W00002813</v>
      </c>
      <c r="C773" s="1" t="str">
        <f>("Java I/O  ")</f>
        <v xml:space="preserve">Java I/O  </v>
      </c>
      <c r="D773" s="1" t="str">
        <f t="shared" si="29"/>
        <v>4F西文書庫 4F Western Language Books</v>
      </c>
      <c r="E773" s="1" t="str">
        <f>("QA76.73.J38 H292 1999")</f>
        <v>QA76.73.J38 H292 1999</v>
      </c>
    </row>
    <row r="774" spans="2:9" x14ac:dyDescent="0.25">
      <c r="B774" s="1" t="str">
        <f>("W00002718")</f>
        <v>W00002718</v>
      </c>
      <c r="C774" s="1" t="str">
        <f>("Core JSP  ")</f>
        <v xml:space="preserve">Core JSP  </v>
      </c>
      <c r="D774" s="1" t="str">
        <f t="shared" si="29"/>
        <v>4F西文書庫 4F Western Language Books</v>
      </c>
      <c r="E774" s="1" t="str">
        <f>("QA76.73.J38 H838 2001")</f>
        <v>QA76.73.J38 H838 2001</v>
      </c>
    </row>
    <row r="775" spans="2:9" x14ac:dyDescent="0.25">
      <c r="B775" s="1" t="str">
        <f>("W00002816")</f>
        <v>W00002816</v>
      </c>
      <c r="C775" s="1" t="str">
        <f>("Java cryptography / ")</f>
        <v xml:space="preserve">Java cryptography / </v>
      </c>
      <c r="D775" s="1" t="str">
        <f t="shared" si="29"/>
        <v>4F西文書庫 4F Western Language Books</v>
      </c>
      <c r="E775" s="1" t="str">
        <f>("QA76.73.J38 K67 1998")</f>
        <v>QA76.73.J38 K67 1998</v>
      </c>
      <c r="G775" s="1" t="str">
        <f>("xvi, 344 p. : ")</f>
        <v xml:space="preserve">xvi, 344 p. : </v>
      </c>
      <c r="H775" s="1" t="str">
        <f>(" ill. ; ")</f>
        <v xml:space="preserve"> ill. ; </v>
      </c>
      <c r="I775" s="1" t="str">
        <f>(" 23 cm. ")</f>
        <v xml:space="preserve"> 23 cm. </v>
      </c>
    </row>
    <row r="776" spans="2:9" x14ac:dyDescent="0.25">
      <c r="B776" s="1" t="str">
        <f>("W00002864")</f>
        <v>W00002864</v>
      </c>
      <c r="C776" s="1" t="str">
        <f>("Concurrent programming in Java design principles and patterns / ")</f>
        <v xml:space="preserve">Concurrent programming in Java design principles and patterns / </v>
      </c>
      <c r="D776" s="1" t="str">
        <f t="shared" si="29"/>
        <v>4F西文書庫 4F Western Language Books</v>
      </c>
      <c r="E776" s="1" t="str">
        <f>("QA76.73.J38 L434 2000")</f>
        <v>QA76.73.J38 L434 2000</v>
      </c>
    </row>
    <row r="777" spans="2:9" x14ac:dyDescent="0.25">
      <c r="B777" s="1" t="str">
        <f>("W00002724")</f>
        <v>W00002724</v>
      </c>
      <c r="C777" s="1" t="str">
        <f>("Creating effective JavaHelp / ")</f>
        <v xml:space="preserve">Creating effective JavaHelp / </v>
      </c>
      <c r="D777" s="1" t="str">
        <f t="shared" si="29"/>
        <v>4F西文書庫 4F Western Language Books</v>
      </c>
      <c r="E777" s="1" t="str">
        <f>("QA76.73.J38 L673 2000")</f>
        <v>QA76.73.J38 L673 2000</v>
      </c>
    </row>
    <row r="778" spans="2:9" x14ac:dyDescent="0.25">
      <c r="B778" s="1" t="str">
        <f>("W00002717")</f>
        <v>W00002717</v>
      </c>
      <c r="C778" s="1" t="str">
        <f>("Program development in Java : abstraction, specification, and object-oriented design / ")</f>
        <v xml:space="preserve">Program development in Java : abstraction, specification, and object-oriented design / </v>
      </c>
      <c r="D778" s="1" t="str">
        <f t="shared" si="29"/>
        <v>4F西文書庫 4F Western Language Books</v>
      </c>
      <c r="E778" s="1" t="str">
        <f>("QA76.73.J38 L769 2000")</f>
        <v>QA76.73.J38 L769 2000</v>
      </c>
    </row>
    <row r="779" spans="2:9" x14ac:dyDescent="0.25">
      <c r="B779" s="1" t="str">
        <f>("W00002709")</f>
        <v>W00002709</v>
      </c>
      <c r="C779" s="1" t="str">
        <f>("Java and XML  ")</f>
        <v xml:space="preserve">Java and XML  </v>
      </c>
      <c r="D779" s="1" t="str">
        <f t="shared" si="29"/>
        <v>4F西文書庫 4F Western Language Books</v>
      </c>
      <c r="E779" s="1" t="str">
        <f>("QA76.73.J38 M111 2000")</f>
        <v>QA76.73.J38 M111 2000</v>
      </c>
    </row>
    <row r="780" spans="2:9" x14ac:dyDescent="0.25">
      <c r="B780" s="1" t="str">
        <f>("W00002824")</f>
        <v>W00002824</v>
      </c>
      <c r="C780" s="1" t="str">
        <f>("Applying Enterprise JavaBeans :  component-based development for the J2EE platform / ")</f>
        <v xml:space="preserve">Applying Enterprise JavaBeans :  component-based development for the J2EE platform / </v>
      </c>
      <c r="D780" s="1" t="str">
        <f t="shared" si="29"/>
        <v>4F西文書庫 4F Western Language Books</v>
      </c>
      <c r="E780" s="1" t="str">
        <f>("QA76.73.J38 M425 2000")</f>
        <v>QA76.73.J38 M425 2000</v>
      </c>
    </row>
    <row r="781" spans="2:9" x14ac:dyDescent="0.25">
      <c r="B781" s="1" t="str">
        <f>("W00002998")</f>
        <v>W00002998</v>
      </c>
      <c r="C781" s="1" t="str">
        <f>("Java programming on Linux / ")</f>
        <v xml:space="preserve">Java programming on Linux / </v>
      </c>
      <c r="D781" s="1" t="str">
        <f t="shared" si="29"/>
        <v>4F西文書庫 4F Western Language Books</v>
      </c>
      <c r="E781" s="1" t="str">
        <f>("QA76.73.J38 M613 2000")</f>
        <v>QA76.73.J38 M613 2000</v>
      </c>
    </row>
    <row r="782" spans="2:9" x14ac:dyDescent="0.25">
      <c r="B782" s="1" t="str">
        <f>("W00002600")</f>
        <v>W00002600</v>
      </c>
      <c r="C782" s="1" t="str">
        <f>("Debugging Java : troubleshooting for programmers / ")</f>
        <v xml:space="preserve">Debugging Java : troubleshooting for programmers / </v>
      </c>
      <c r="D782" s="1" t="str">
        <f t="shared" si="29"/>
        <v>4F西文書庫 4F Western Language Books</v>
      </c>
      <c r="E782" s="1" t="str">
        <f>("QA76.73.J38 M681 2000")</f>
        <v>QA76.73.J38 M681 2000</v>
      </c>
    </row>
    <row r="783" spans="2:9" x14ac:dyDescent="0.25">
      <c r="B783" s="1" t="str">
        <f>("W00002711")</f>
        <v>W00002711</v>
      </c>
      <c r="C783" s="1" t="str">
        <f>("Java message service / ")</f>
        <v xml:space="preserve">Java message service / </v>
      </c>
      <c r="D783" s="1" t="str">
        <f t="shared" si="29"/>
        <v>4F西文書庫 4F Western Language Books</v>
      </c>
      <c r="E783" s="1" t="str">
        <f>("QA76.73.J38 M755 2001")</f>
        <v>QA76.73.J38 M755 2001</v>
      </c>
    </row>
    <row r="784" spans="2:9" x14ac:dyDescent="0.25">
      <c r="B784" s="1" t="str">
        <f>("W00002881")</f>
        <v>W00002881</v>
      </c>
      <c r="C784" s="1" t="str">
        <f>("Enterprise JavaBeans / ")</f>
        <v xml:space="preserve">Enterprise JavaBeans / </v>
      </c>
      <c r="D784" s="1" t="str">
        <f t="shared" si="29"/>
        <v>4F西文書庫 4F Western Language Books</v>
      </c>
      <c r="E784" s="1" t="str">
        <f>("QA76.73.J38 M755-2 2000")</f>
        <v>QA76.73.J38 M755-2 2000</v>
      </c>
    </row>
    <row r="785" spans="2:9" x14ac:dyDescent="0.25">
      <c r="B785" s="1" t="str">
        <f>("W00003274")</f>
        <v>W00003274</v>
      </c>
      <c r="C785" s="1" t="str">
        <f>("Visual J++ unleashed /")</f>
        <v>Visual J++ unleashed /</v>
      </c>
      <c r="D785" s="1" t="str">
        <f t="shared" si="29"/>
        <v>4F西文書庫 4F Western Language Books</v>
      </c>
      <c r="E785" s="1" t="str">
        <f>("QA76.73.J38 M847 1997")</f>
        <v>QA76.73.J38 M847 1997</v>
      </c>
    </row>
    <row r="786" spans="2:9" x14ac:dyDescent="0.25">
      <c r="B786" s="1" t="str">
        <f>("W00002893")</f>
        <v>W00002893</v>
      </c>
      <c r="C786" s="1" t="str">
        <f>("Server-based Java programming / ")</f>
        <v xml:space="preserve">Server-based Java programming / </v>
      </c>
      <c r="D786" s="1" t="str">
        <f t="shared" si="29"/>
        <v>4F西文書庫 4F Western Language Books</v>
      </c>
      <c r="E786" s="1" t="str">
        <f>("QA76.73.J38 N532 2000")</f>
        <v>QA76.73.J38 N532 2000</v>
      </c>
    </row>
    <row r="787" spans="2:9" x14ac:dyDescent="0.25">
      <c r="B787" s="1" t="str">
        <f>("W00002720")</f>
        <v>W00002720</v>
      </c>
      <c r="C787" s="1" t="str">
        <f>("Learning Java  ")</f>
        <v xml:space="preserve">Learning Java  </v>
      </c>
      <c r="D787" s="1" t="str">
        <f t="shared" si="29"/>
        <v>4F西文書庫 4F Western Language Books</v>
      </c>
      <c r="E787" s="1" t="str">
        <f>("QA76.73.J38 N672 2000")</f>
        <v>QA76.73.J38 N672 2000</v>
      </c>
    </row>
    <row r="788" spans="2:9" x14ac:dyDescent="0.25">
      <c r="B788" s="1" t="str">
        <f>("W00002828")</f>
        <v>W00002828</v>
      </c>
      <c r="C788" s="1" t="str">
        <f>("Java security  ")</f>
        <v xml:space="preserve">Java security  </v>
      </c>
      <c r="D788" s="1" t="str">
        <f t="shared" si="29"/>
        <v>4F西文書庫 4F Western Language Books</v>
      </c>
      <c r="E788" s="1" t="str">
        <f>("QA76.73.J38 O11 1998")</f>
        <v>QA76.73.J38 O11 1998</v>
      </c>
    </row>
    <row r="789" spans="2:9" x14ac:dyDescent="0.25">
      <c r="B789" s="1" t="str">
        <f>("W00002827")</f>
        <v>W00002827</v>
      </c>
      <c r="C789" s="1" t="str">
        <f>("Java threads  ")</f>
        <v xml:space="preserve">Java threads  </v>
      </c>
      <c r="D789" s="1" t="str">
        <f t="shared" si="29"/>
        <v>4F西文書庫 4F Western Language Books</v>
      </c>
      <c r="E789" s="1" t="str">
        <f>("QA76.73.J38 O11-2 1999")</f>
        <v>QA76.73.J38 O11-2 1999</v>
      </c>
    </row>
    <row r="790" spans="2:9" x14ac:dyDescent="0.25">
      <c r="B790" s="1" t="str">
        <f>("W00002681")</f>
        <v>W00002681</v>
      </c>
      <c r="C790" s="1" t="str">
        <f>("Essentials of the Java programming language : a hands-on guide / ")</f>
        <v xml:space="preserve">Essentials of the Java programming language : a hands-on guide / </v>
      </c>
      <c r="D790" s="1" t="str">
        <f t="shared" si="29"/>
        <v>4F西文書庫 4F Western Language Books</v>
      </c>
      <c r="E790" s="1" t="str">
        <f>("QA76.73.J38 P111 2000")</f>
        <v>QA76.73.J38 P111 2000</v>
      </c>
    </row>
    <row r="791" spans="2:9" x14ac:dyDescent="0.25">
      <c r="B791" s="1" t="str">
        <f>("W00002917")</f>
        <v>W00002917</v>
      </c>
      <c r="C791" s="1" t="str">
        <f>("Server scripts with Visual JavaScript / ")</f>
        <v xml:space="preserve">Server scripts with Visual JavaScript / </v>
      </c>
      <c r="D791" s="1" t="str">
        <f t="shared" si="29"/>
        <v>4F西文書庫 4F Western Language Books</v>
      </c>
      <c r="E791" s="1" t="str">
        <f>("QA76.73.J38 R147 1998")</f>
        <v>QA76.73.J38 R147 1998</v>
      </c>
    </row>
    <row r="792" spans="2:9" x14ac:dyDescent="0.25">
      <c r="B792" s="1" t="str">
        <f>("W00002949")</f>
        <v>W00002949</v>
      </c>
      <c r="C792" s="1" t="str">
        <f>("Java server and servlets : building portable web applications / ")</f>
        <v xml:space="preserve">Java server and servlets : building portable web applications / </v>
      </c>
      <c r="D792" s="1" t="str">
        <f t="shared" si="29"/>
        <v>4F西文書庫 4F Western Language Books</v>
      </c>
      <c r="E792" s="1" t="str">
        <f>("QA76.73.J38 R823 2000")</f>
        <v>QA76.73.J38 R823 2000</v>
      </c>
      <c r="G792" s="1" t="str">
        <f>("p. cm. ")</f>
        <v xml:space="preserve">p. cm. </v>
      </c>
    </row>
    <row r="793" spans="2:9" x14ac:dyDescent="0.25">
      <c r="B793" s="1" t="str">
        <f>("W00002985")</f>
        <v>W00002985</v>
      </c>
      <c r="C793" s="1" t="str">
        <f>("Java 2 programmer's reference / ")</f>
        <v xml:space="preserve">Java 2 programmer's reference / </v>
      </c>
      <c r="D793" s="1" t="str">
        <f t="shared" si="29"/>
        <v>4F西文書庫 4F Western Language Books</v>
      </c>
      <c r="E793" s="1" t="str">
        <f>("QA76.73.J38 S334 2000")</f>
        <v>QA76.73.J38 S334 2000</v>
      </c>
    </row>
    <row r="794" spans="2:9" x14ac:dyDescent="0.25">
      <c r="B794" s="1" t="str">
        <f>("W00002631")</f>
        <v>W00002631</v>
      </c>
      <c r="C794" s="1" t="str">
        <f>("Java 2 :the complete reference /")</f>
        <v>Java 2 :the complete reference /</v>
      </c>
      <c r="D794" s="1" t="str">
        <f t="shared" si="29"/>
        <v>4F西文書庫 4F Western Language Books</v>
      </c>
      <c r="E794" s="1" t="str">
        <f>("QA76.73.J38 S334-2 2001")</f>
        <v>QA76.73.J38 S334-2 2001</v>
      </c>
    </row>
    <row r="795" spans="2:9" x14ac:dyDescent="0.25">
      <c r="B795" s="1" t="str">
        <f>("W00002825")</f>
        <v>W00002825</v>
      </c>
      <c r="C795" s="1" t="str">
        <f>("Java 2 platform, enterprise edition : platform and component specifications / ")</f>
        <v xml:space="preserve">Java 2 platform, enterprise edition : platform and component specifications / </v>
      </c>
      <c r="D795" s="1" t="str">
        <f t="shared" si="29"/>
        <v>4F西文書庫 4F Western Language Books</v>
      </c>
      <c r="E795" s="1" t="str">
        <f>("QA76.73.J38 S524 2000")</f>
        <v>QA76.73.J38 S524 2000</v>
      </c>
    </row>
    <row r="796" spans="2:9" x14ac:dyDescent="0.25">
      <c r="B796" s="1" t="str">
        <f>("W00002814")</f>
        <v>W00002814</v>
      </c>
      <c r="C796" s="1" t="str">
        <f>("Java performance tuning / ")</f>
        <v xml:space="preserve">Java performance tuning / </v>
      </c>
      <c r="D796" s="1" t="str">
        <f t="shared" si="29"/>
        <v>4F西文書庫 4F Western Language Books</v>
      </c>
      <c r="E796" s="1" t="str">
        <f>("QA76.73.J38 S558 2000")</f>
        <v>QA76.73.J38 S558 2000</v>
      </c>
    </row>
    <row r="797" spans="2:9" x14ac:dyDescent="0.25">
      <c r="B797" s="1" t="str">
        <f>("W00002900")</f>
        <v>W00002900</v>
      </c>
      <c r="C797" s="1" t="str">
        <f>("On to Java  ")</f>
        <v xml:space="preserve">On to Java  </v>
      </c>
      <c r="D797" s="1" t="str">
        <f>("罕用書庫1-洽櫃台填單 Upon-Request Collection1 fil")</f>
        <v>罕用書庫1-洽櫃台填單 Upon-Request Collection1 fil</v>
      </c>
      <c r="E797" s="1" t="str">
        <f>("QA76.73.J38 W783 1998 c.2")</f>
        <v>QA76.73.J38 W783 1998 c.2</v>
      </c>
      <c r="G797" s="1" t="str">
        <f>("xi, 379 p. : ")</f>
        <v xml:space="preserve">xi, 379 p. : </v>
      </c>
      <c r="H797" s="1" t="str">
        <f>("ill. ; ")</f>
        <v xml:space="preserve">ill. ; </v>
      </c>
      <c r="I797" s="1" t="str">
        <f>("24 cm. ")</f>
        <v xml:space="preserve">24 cm. </v>
      </c>
    </row>
    <row r="798" spans="2:9" x14ac:dyDescent="0.25">
      <c r="B798" s="1" t="str">
        <f>("W00002601")</f>
        <v>W00002601</v>
      </c>
      <c r="C798" s="1" t="str">
        <f>("Enterprise Java developer's guide / ")</f>
        <v xml:space="preserve">Enterprise Java developer's guide / </v>
      </c>
      <c r="D798" s="1" t="str">
        <f t="shared" ref="D798:D844" si="30">("4F西文書庫 4F Western Language Books")</f>
        <v>4F西文書庫 4F Western Language Books</v>
      </c>
      <c r="E798" s="1" t="str">
        <f>("QA76.73.J73 N218 1999")</f>
        <v>QA76.73.J73 N218 1999</v>
      </c>
    </row>
    <row r="799" spans="2:9" x14ac:dyDescent="0.25">
      <c r="B799" s="1" t="str">
        <f>("W00002586")</f>
        <v>W00002586</v>
      </c>
      <c r="C799" s="1" t="str">
        <f>("Debugging Perl : troubleshooting for programmers / ")</f>
        <v xml:space="preserve">Debugging Perl : troubleshooting for programmers / </v>
      </c>
      <c r="D799" s="1" t="str">
        <f t="shared" si="30"/>
        <v>4F西文書庫 4F Western Language Books</v>
      </c>
      <c r="E799" s="1" t="str">
        <f>("QA76.73.P22 B882 2001")</f>
        <v>QA76.73.P22 B882 2001</v>
      </c>
    </row>
    <row r="800" spans="2:9" x14ac:dyDescent="0.25">
      <c r="B800" s="1" t="str">
        <f>("W00002942")</f>
        <v>W00002942</v>
      </c>
      <c r="C800" s="1" t="str">
        <f>("Automating Windows with Perl")</f>
        <v>Automating Windows with Perl</v>
      </c>
      <c r="D800" s="1" t="str">
        <f t="shared" si="30"/>
        <v>4F西文書庫 4F Western Language Books</v>
      </c>
      <c r="E800" s="1" t="str">
        <f>("QA76.73.P22 M111 1999")</f>
        <v>QA76.73.P22 M111 1999</v>
      </c>
    </row>
    <row r="801" spans="2:10" x14ac:dyDescent="0.25">
      <c r="B801" s="1" t="str">
        <f>("W00002877")</f>
        <v>W00002877</v>
      </c>
      <c r="C801" s="1" t="str">
        <f>("Advanced Perl programming /")</f>
        <v>Advanced Perl programming /</v>
      </c>
      <c r="D801" s="1" t="str">
        <f t="shared" si="30"/>
        <v>4F西文書庫 4F Western Language Books</v>
      </c>
      <c r="E801" s="1" t="str">
        <f>("QA76.73.P22 S111 1997")</f>
        <v>QA76.73.P22 S111 1997</v>
      </c>
    </row>
    <row r="802" spans="2:10" x14ac:dyDescent="0.25">
      <c r="B802" s="1" t="str">
        <f>("W00003273")</f>
        <v>W00003273</v>
      </c>
      <c r="C802" s="1" t="str">
        <f>("The Perl 5 programmer's reference :Windows 95/NT, Macintosh, OS/2 &amp; UNIX /")</f>
        <v>The Perl 5 programmer's reference :Windows 95/NT, Macintosh, OS/2 &amp; UNIX /</v>
      </c>
      <c r="D802" s="1" t="str">
        <f t="shared" si="30"/>
        <v>4F西文書庫 4F Western Language Books</v>
      </c>
      <c r="E802" s="1" t="str">
        <f>("QA76.73.P22 W981 1997")</f>
        <v>QA76.73.P22 W981 1997</v>
      </c>
    </row>
    <row r="803" spans="2:10" x14ac:dyDescent="0.25">
      <c r="B803" s="1" t="str">
        <f>("W00002857")</f>
        <v>W00002857</v>
      </c>
      <c r="C803" s="1" t="str">
        <f>("Essential PHP for Web professionals / ")</f>
        <v xml:space="preserve">Essential PHP for Web professionals / </v>
      </c>
      <c r="D803" s="1" t="str">
        <f t="shared" si="30"/>
        <v>4F西文書庫 4F Western Language Books</v>
      </c>
      <c r="E803" s="1" t="str">
        <f>("QA76.73.P224 C834 2001")</f>
        <v>QA76.73.P224 C834 2001</v>
      </c>
    </row>
    <row r="804" spans="2:10" x14ac:dyDescent="0.25">
      <c r="B804" s="1" t="str">
        <f>("W00002927")</f>
        <v>W00002927</v>
      </c>
      <c r="C804" s="1" t="str">
        <f>("Oracle PL/SQL 101  ")</f>
        <v xml:space="preserve">Oracle PL/SQL 101  </v>
      </c>
      <c r="D804" s="1" t="str">
        <f t="shared" si="30"/>
        <v>4F西文書庫 4F Western Language Books</v>
      </c>
      <c r="E804" s="1" t="str">
        <f>("QA76.73.P258 A425 2001")</f>
        <v>QA76.73.P258 A425 2001</v>
      </c>
    </row>
    <row r="805" spans="2:10" x14ac:dyDescent="0.25">
      <c r="B805" s="1" t="str">
        <f>("W00003240")</f>
        <v>W00003240</v>
      </c>
      <c r="C805" s="1" t="str">
        <f>("Prolog programming in depth /")</f>
        <v>Prolog programming in depth /</v>
      </c>
      <c r="D805" s="1" t="str">
        <f t="shared" si="30"/>
        <v>4F西文書庫 4F Western Language Books</v>
      </c>
      <c r="E805" s="1" t="str">
        <f>("QA76.73.P76 C873 1988")</f>
        <v>QA76.73.P76 C873 1988</v>
      </c>
    </row>
    <row r="806" spans="2:10" x14ac:dyDescent="0.25">
      <c r="B806" s="1" t="str">
        <f>("W00002629")</f>
        <v>W00002629</v>
      </c>
      <c r="C806" s="1" t="str">
        <f>("Core python programming / ")</f>
        <v xml:space="preserve">Core python programming / </v>
      </c>
      <c r="D806" s="1" t="str">
        <f t="shared" si="30"/>
        <v>4F西文書庫 4F Western Language Books</v>
      </c>
      <c r="E806" s="1" t="str">
        <f>("QA76.73.P98 C559 2001")</f>
        <v>QA76.73.P98 C559 2001</v>
      </c>
    </row>
    <row r="807" spans="2:10" x14ac:dyDescent="0.25">
      <c r="B807" s="1" t="str">
        <f>("W00003262")</f>
        <v>W00003262</v>
      </c>
      <c r="C807" s="1" t="str">
        <f>("A guide to the SQL standard :a user's guide to the standard database language SQL /")</f>
        <v>A guide to the SQL standard :a user's guide to the standard database language SQL /</v>
      </c>
      <c r="D807" s="1" t="str">
        <f t="shared" si="30"/>
        <v>4F西文書庫 4F Western Language Books</v>
      </c>
      <c r="E807" s="1" t="str">
        <f>("QA76.73.S67 D479 1997")</f>
        <v>QA76.73.S67 D479 1997</v>
      </c>
    </row>
    <row r="808" spans="2:10" x14ac:dyDescent="0.25">
      <c r="B808" s="1" t="str">
        <f>("W00002835")</f>
        <v>W00002835</v>
      </c>
      <c r="C808" s="1" t="str">
        <f>("Oracle SQL :the essential reference /")</f>
        <v>Oracle SQL :the essential reference /</v>
      </c>
      <c r="D808" s="1" t="str">
        <f t="shared" si="30"/>
        <v>4F西文書庫 4F Western Language Books</v>
      </c>
      <c r="E808" s="1" t="str">
        <f>("QA76.73.S67 K92 2000")</f>
        <v>QA76.73.S67 K92 2000</v>
      </c>
    </row>
    <row r="809" spans="2:10" x14ac:dyDescent="0.25">
      <c r="B809" s="1" t="str">
        <f>("W00002598")</f>
        <v>W00002598</v>
      </c>
      <c r="C809" s="1" t="str">
        <f>("Sams teach yourself transact-SQL in 21 days / ")</f>
        <v xml:space="preserve">Sams teach yourself transact-SQL in 21 days / </v>
      </c>
      <c r="D809" s="1" t="str">
        <f t="shared" si="30"/>
        <v>4F西文書庫 4F Western Language Books</v>
      </c>
      <c r="E809" s="1" t="str">
        <f>("QA76.73.S67 S689 2000")</f>
        <v>QA76.73.S67 S689 2000</v>
      </c>
    </row>
    <row r="810" spans="2:10" x14ac:dyDescent="0.25">
      <c r="B810" s="1" t="str">
        <f>("W00002595")</f>
        <v>W00002595</v>
      </c>
      <c r="C810" s="1" t="str">
        <f>("Sams teach yourself SQL in 21 days / ")</f>
        <v xml:space="preserve">Sams teach yourself SQL in 21 days / </v>
      </c>
      <c r="D810" s="1" t="str">
        <f t="shared" si="30"/>
        <v>4F西文書庫 4F Western Language Books</v>
      </c>
      <c r="E810" s="1" t="str">
        <f>("QA76.73.S67 S832 2000")</f>
        <v>QA76.73.S67 S832 2000</v>
      </c>
    </row>
    <row r="811" spans="2:10" x14ac:dyDescent="0.25">
      <c r="B811" s="1" t="str">
        <f>("W00002846")</f>
        <v>W00002846</v>
      </c>
      <c r="C811" s="1" t="str">
        <f>("MySQL and mSQL /")</f>
        <v>MySQL and mSQL /</v>
      </c>
      <c r="D811" s="1" t="str">
        <f t="shared" si="30"/>
        <v>4F西文書庫 4F Western Language Books</v>
      </c>
      <c r="E811" s="1" t="str">
        <f>("QA76.73.S67 Y26 1999")</f>
        <v>QA76.73.S67 Y26 1999</v>
      </c>
    </row>
    <row r="812" spans="2:10" x14ac:dyDescent="0.25">
      <c r="B812" s="1" t="str">
        <f>("W00002794")</f>
        <v>W00002794</v>
      </c>
      <c r="C812" s="1" t="str">
        <f>("Software architect bootcamp / ")</f>
        <v xml:space="preserve">Software architect bootcamp / </v>
      </c>
      <c r="D812" s="1" t="str">
        <f t="shared" si="30"/>
        <v>4F西文書庫 4F Western Language Books</v>
      </c>
      <c r="E812" s="1" t="str">
        <f>("QA76.758 M262 1999")</f>
        <v>QA76.758 M262 1999</v>
      </c>
    </row>
    <row r="813" spans="2:10" x14ac:dyDescent="0.25">
      <c r="B813" s="1" t="str">
        <f>("W00002894")</f>
        <v>W00002894</v>
      </c>
      <c r="C813" s="1" t="str">
        <f>("The unified process construction phasebest practices for completing the unified process /")</f>
        <v>The unified process construction phasebest practices for completing the unified process /</v>
      </c>
      <c r="D813" s="1" t="str">
        <f t="shared" si="30"/>
        <v>4F西文書庫 4F Western Language Books</v>
      </c>
      <c r="E813" s="1" t="str">
        <f>("QA76.76 A493 2000")</f>
        <v>QA76.76 A493 2000</v>
      </c>
    </row>
    <row r="814" spans="2:10" x14ac:dyDescent="0.25">
      <c r="B814" s="1" t="str">
        <f>("W00002909")</f>
        <v>W00002909</v>
      </c>
      <c r="C814" s="1" t="str">
        <f>("Successful software development / ")</f>
        <v xml:space="preserve">Successful software development / </v>
      </c>
      <c r="D814" s="1" t="str">
        <f t="shared" si="30"/>
        <v>4F西文書庫 4F Western Language Books</v>
      </c>
      <c r="E814" s="1" t="str">
        <f>("QA76.76 D676 2001")</f>
        <v>QA76.76 D676 2001</v>
      </c>
      <c r="G814" s="1" t="str">
        <f>("xxxv, 745 p. : ")</f>
        <v xml:space="preserve">xxxv, 745 p. : </v>
      </c>
      <c r="H814" s="1" t="str">
        <f>("ill. ; ")</f>
        <v xml:space="preserve">ill. ; </v>
      </c>
      <c r="I814" s="1" t="str">
        <f>("26 cm. ")</f>
        <v xml:space="preserve">26 cm. </v>
      </c>
    </row>
    <row r="815" spans="2:10" x14ac:dyDescent="0.25">
      <c r="B815" s="1" t="str">
        <f>("W00002905")</f>
        <v>W00002905</v>
      </c>
      <c r="C815" s="1" t="str">
        <f>("Win32 system programming : a Windows 2000 application developer's guide / ")</f>
        <v xml:space="preserve">Win32 system programming : a Windows 2000 application developer's guide / </v>
      </c>
      <c r="D815" s="1" t="str">
        <f t="shared" si="30"/>
        <v>4F西文書庫 4F Western Language Books</v>
      </c>
      <c r="E815" s="1" t="str">
        <f>("QA76.76 H325 2001")</f>
        <v>QA76.76 H325 2001</v>
      </c>
      <c r="G815" s="1" t="str">
        <f>("xxviii, 507 p. : ")</f>
        <v xml:space="preserve">xxviii, 507 p. : </v>
      </c>
      <c r="H815" s="1" t="str">
        <f>("ill. ; ")</f>
        <v xml:space="preserve">ill. ; </v>
      </c>
      <c r="I815" s="1" t="str">
        <f>("25 cm. + ")</f>
        <v xml:space="preserve">25 cm. + </v>
      </c>
      <c r="J815" s="1" t="str">
        <f>(" 1 computer disc (4 3/4 in.). ")</f>
        <v xml:space="preserve"> 1 computer disc (4 3/4 in.). </v>
      </c>
    </row>
    <row r="816" spans="2:10" x14ac:dyDescent="0.25">
      <c r="B816" s="1" t="str">
        <f>("W00002912")</f>
        <v>W00002912</v>
      </c>
      <c r="C816" s="1" t="str">
        <f>("Managing software requirements : a unified approach / ")</f>
        <v xml:space="preserve">Managing software requirements : a unified approach / </v>
      </c>
      <c r="D816" s="1" t="str">
        <f t="shared" si="30"/>
        <v>4F西文書庫 4F Western Language Books</v>
      </c>
      <c r="E816" s="1" t="str">
        <f>("QA76.76 L488 2000")</f>
        <v>QA76.76 L488 2000</v>
      </c>
    </row>
    <row r="817" spans="2:10" x14ac:dyDescent="0.25">
      <c r="B817" s="1" t="str">
        <f>("W00002783")</f>
        <v>W00002783</v>
      </c>
      <c r="C817" s="1" t="str">
        <f>("SanFrancisco component framework : an introduction / ")</f>
        <v xml:space="preserve">SanFrancisco component framework : an introduction / </v>
      </c>
      <c r="D817" s="1" t="str">
        <f t="shared" si="30"/>
        <v>4F西文書庫 4F Western Language Books</v>
      </c>
      <c r="E817" s="1" t="str">
        <f>("QA76.76 M741 2000")</f>
        <v>QA76.76 M741 2000</v>
      </c>
    </row>
    <row r="818" spans="2:10" x14ac:dyDescent="0.25">
      <c r="B818" s="1" t="str">
        <f>("W00002771")</f>
        <v>W00002771</v>
      </c>
      <c r="C818" s="1" t="str">
        <f>("Understanding SOAP / ")</f>
        <v xml:space="preserve">Understanding SOAP / </v>
      </c>
      <c r="D818" s="1" t="str">
        <f t="shared" si="30"/>
        <v>4F西文書庫 4F Western Language Books</v>
      </c>
      <c r="E818" s="1" t="str">
        <f>("QA76.76 S434 2000")</f>
        <v>QA76.76 S434 2000</v>
      </c>
    </row>
    <row r="819" spans="2:10" x14ac:dyDescent="0.25">
      <c r="B819" s="1" t="str">
        <f>("W00002822")</f>
        <v>W00002822</v>
      </c>
      <c r="C819" s="1" t="str">
        <f>("Advanced programming for the Java 2 platform / ")</f>
        <v xml:space="preserve">Advanced programming for the Java 2 platform / </v>
      </c>
      <c r="D819" s="1" t="str">
        <f t="shared" si="30"/>
        <v>4F西文書庫 4F Western Language Books</v>
      </c>
      <c r="E819" s="1" t="str">
        <f>("QA76.76.A65 A953 2001")</f>
        <v>QA76.76.A65 A953 2001</v>
      </c>
      <c r="G819" s="1" t="str">
        <f>("xvi, 381 p. ; ")</f>
        <v xml:space="preserve">xvi, 381 p. ; </v>
      </c>
      <c r="I819" s="1" t="str">
        <f>("24 cm. ")</f>
        <v xml:space="preserve">24 cm. </v>
      </c>
      <c r="J819" s="1" t="str">
        <f>("+1 computer laser optical disc (4 3/4 in.) ")</f>
        <v xml:space="preserve">+1 computer laser optical disc (4 3/4 in.) </v>
      </c>
    </row>
    <row r="820" spans="2:10" x14ac:dyDescent="0.25">
      <c r="B820" s="1" t="str">
        <f>("W00002659")</f>
        <v>W00002659</v>
      </c>
      <c r="C820" s="1" t="str">
        <f>("Designing concurrent, distributed, and real-time applications with UML / ")</f>
        <v xml:space="preserve">Designing concurrent, distributed, and real-time applications with UML / </v>
      </c>
      <c r="D820" s="1" t="str">
        <f t="shared" si="30"/>
        <v>4F西文書庫 4F Western Language Books</v>
      </c>
      <c r="E820" s="1" t="str">
        <f>("QA76.76.A65 G631 2000")</f>
        <v>QA76.76.A65 G631 2000</v>
      </c>
    </row>
    <row r="821" spans="2:10" x14ac:dyDescent="0.25">
      <c r="B821" s="1" t="str">
        <f>("W00002806")</f>
        <v>W00002806</v>
      </c>
      <c r="C821" s="1" t="str">
        <f>("Applied software architecture / ")</f>
        <v xml:space="preserve">Applied software architecture / </v>
      </c>
      <c r="D821" s="1" t="str">
        <f t="shared" si="30"/>
        <v>4F西文書庫 4F Western Language Books</v>
      </c>
      <c r="E821" s="1" t="str">
        <f>("QA76.76.A65 H713 2000")</f>
        <v>QA76.76.A65 H713 2000</v>
      </c>
    </row>
    <row r="822" spans="2:10" x14ac:dyDescent="0.25">
      <c r="B822" s="1" t="str">
        <f>("W00002644")</f>
        <v>W00002644</v>
      </c>
      <c r="C822" s="1" t="str">
        <f>("Software architecture for product families : principles and practice / ")</f>
        <v xml:space="preserve">Software architecture for product families : principles and practice / </v>
      </c>
      <c r="D822" s="1" t="str">
        <f t="shared" si="30"/>
        <v>4F西文書庫 4F Western Language Books</v>
      </c>
      <c r="E822" s="1" t="str">
        <f>("QA76.76.A65 J65 2000")</f>
        <v>QA76.76.A65 J65 2000</v>
      </c>
    </row>
    <row r="823" spans="2:10" x14ac:dyDescent="0.25">
      <c r="B823" s="1" t="str">
        <f>("W00002722")</f>
        <v>W00002722</v>
      </c>
      <c r="C823" s="1" t="str">
        <f>("Designing Enterprise applications with the Java 2 Platform / ")</f>
        <v xml:space="preserve">Designing Enterprise applications with the Java 2 Platform / </v>
      </c>
      <c r="D823" s="1" t="str">
        <f t="shared" si="30"/>
        <v>4F西文書庫 4F Western Language Books</v>
      </c>
      <c r="E823" s="1" t="str">
        <f>("QA76.76.A65 K19 2000")</f>
        <v>QA76.76.A65 K19 2000</v>
      </c>
    </row>
    <row r="824" spans="2:10" x14ac:dyDescent="0.25">
      <c r="B824" s="1" t="str">
        <f>("W00002829")</f>
        <v>W00002829</v>
      </c>
      <c r="C824" s="1" t="str">
        <f>("B2B application integration : e-business--enable your enterprise / ")</f>
        <v xml:space="preserve">B2B application integration : e-business--enable your enterprise / </v>
      </c>
      <c r="D824" s="1" t="str">
        <f t="shared" si="30"/>
        <v>4F西文書庫 4F Western Language Books</v>
      </c>
      <c r="E824" s="1" t="str">
        <f>("QA76.76.A65 L761 2001")</f>
        <v>QA76.76.A65 L761 2001</v>
      </c>
      <c r="G824" s="1" t="str">
        <f>("xxi, 408 p. : ")</f>
        <v xml:space="preserve">xxi, 408 p. : </v>
      </c>
      <c r="H824" s="1" t="str">
        <f>("ill. ; ")</f>
        <v xml:space="preserve">ill. ; </v>
      </c>
      <c r="I824" s="1" t="str">
        <f>("24 cm.")</f>
        <v>24 cm.</v>
      </c>
    </row>
    <row r="825" spans="2:10" x14ac:dyDescent="0.25">
      <c r="B825" s="1" t="str">
        <f>("W00002658")</f>
        <v>W00002658</v>
      </c>
      <c r="C825" s="1" t="str">
        <f>("Developing applications with Visual Basic and UML / ")</f>
        <v xml:space="preserve">Developing applications with Visual Basic and UML / </v>
      </c>
      <c r="D825" s="1" t="str">
        <f t="shared" si="30"/>
        <v>4F西文書庫 4F Western Language Books</v>
      </c>
      <c r="E825" s="1" t="str">
        <f>("QA76.76.A65 R323 2000")</f>
        <v>QA76.76.A65 R323 2000</v>
      </c>
    </row>
    <row r="826" spans="2:10" x14ac:dyDescent="0.25">
      <c r="B826" s="1" t="str">
        <f>("W00002710")</f>
        <v>W00002710</v>
      </c>
      <c r="C826" s="1" t="str">
        <f>("Essential WinInet : developing applications using the Windows Internet API with RAS, ISAPI, ASP, and COM / ")</f>
        <v xml:space="preserve">Essential WinInet : developing applications using the Windows Internet API with RAS, ISAPI, ASP, and COM / </v>
      </c>
      <c r="D826" s="1" t="str">
        <f t="shared" si="30"/>
        <v>4F西文書庫 4F Western Language Books</v>
      </c>
      <c r="E826" s="1" t="str">
        <f>("QA76.76.A65 S626 1999")</f>
        <v>QA76.76.A65 S626 1999</v>
      </c>
    </row>
    <row r="827" spans="2:10" x14ac:dyDescent="0.25">
      <c r="B827" s="1" t="str">
        <f>("W00002730")</f>
        <v>W00002730</v>
      </c>
      <c r="C827" s="1" t="str">
        <f>("Developing enterprise applications : an impurist's view / ")</f>
        <v xml:space="preserve">Developing enterprise applications : an impurist's view / </v>
      </c>
      <c r="D827" s="1" t="str">
        <f t="shared" si="30"/>
        <v>4F西文書庫 4F Western Language Books</v>
      </c>
      <c r="E827" s="1" t="str">
        <f>("QA76.76.A65 T588 2000")</f>
        <v>QA76.76.A65 T588 2000</v>
      </c>
    </row>
    <row r="828" spans="2:10" x14ac:dyDescent="0.25">
      <c r="B828" s="1" t="str">
        <f>("W00002726")</f>
        <v>W00002726</v>
      </c>
      <c r="C828" s="1" t="str">
        <f>("Developing enterprise applications : an impurist's view / ")</f>
        <v xml:space="preserve">Developing enterprise applications : an impurist's view / </v>
      </c>
      <c r="D828" s="1" t="str">
        <f t="shared" si="30"/>
        <v>4F西文書庫 4F Western Language Books</v>
      </c>
      <c r="E828" s="1" t="str">
        <f>("QA76.76.A65 T588 2000 c.2")</f>
        <v>QA76.76.A65 T588 2000 c.2</v>
      </c>
    </row>
    <row r="829" spans="2:10" x14ac:dyDescent="0.25">
      <c r="B829" s="1" t="str">
        <f>("W00002890")</f>
        <v>W00002890</v>
      </c>
      <c r="C829" s="1" t="str">
        <f>("Linkers and loaders / ")</f>
        <v xml:space="preserve">Linkers and loaders / </v>
      </c>
      <c r="D829" s="1" t="str">
        <f t="shared" si="30"/>
        <v>4F西文書庫 4F Western Language Books</v>
      </c>
      <c r="E829" s="1" t="str">
        <f>("QA76.76.A87 L665 2000")</f>
        <v>QA76.76.A87 L665 2000</v>
      </c>
    </row>
    <row r="830" spans="2:10" x14ac:dyDescent="0.25">
      <c r="B830" s="1" t="str">
        <f>("W00002882")</f>
        <v>W00002882</v>
      </c>
      <c r="C830" s="1" t="str">
        <f>("UML components : a simple process for specifying component-based software / ")</f>
        <v xml:space="preserve">UML components : a simple process for specifying component-based software / </v>
      </c>
      <c r="D830" s="1" t="str">
        <f t="shared" si="30"/>
        <v>4F西文書庫 4F Western Language Books</v>
      </c>
      <c r="E830" s="1" t="str">
        <f>("QA76.76.C66 C515 2001")</f>
        <v>QA76.76.C66 C515 2001</v>
      </c>
    </row>
    <row r="831" spans="2:10" x14ac:dyDescent="0.25">
      <c r="B831" s="1" t="str">
        <f>("W00002791")</f>
        <v>W00002791</v>
      </c>
      <c r="C831" s="1" t="str">
        <f>("Software project management : from concept to deployment / ")</f>
        <v xml:space="preserve">Software project management : from concept to deployment / </v>
      </c>
      <c r="D831" s="1" t="str">
        <f t="shared" si="30"/>
        <v>4F西文書庫 4F Western Language Books</v>
      </c>
      <c r="E831" s="1" t="str">
        <f>("QA76.76.D47 C767 2000")</f>
        <v>QA76.76.D47 C767 2000</v>
      </c>
    </row>
    <row r="832" spans="2:10" x14ac:dyDescent="0.25">
      <c r="B832" s="1" t="str">
        <f>("W00002687")</f>
        <v>W00002687</v>
      </c>
      <c r="C832" s="1" t="str">
        <f>("A UML pattern language / ")</f>
        <v xml:space="preserve">A UML pattern language / </v>
      </c>
      <c r="D832" s="1" t="str">
        <f t="shared" si="30"/>
        <v>4F西文書庫 4F Western Language Books</v>
      </c>
      <c r="E832" s="1" t="str">
        <f>("QA76.76.D47 E92 1999")</f>
        <v>QA76.76.D47 E92 1999</v>
      </c>
    </row>
    <row r="833" spans="2:9" x14ac:dyDescent="0.25">
      <c r="B833" s="1" t="str">
        <f>("W00002667")</f>
        <v>W00002667</v>
      </c>
      <c r="C833" s="1" t="str">
        <f>("Function point analysis : measurement practices for successful software projects / ")</f>
        <v xml:space="preserve">Function point analysis : measurement practices for successful software projects / </v>
      </c>
      <c r="D833" s="1" t="str">
        <f t="shared" si="30"/>
        <v>4F西文書庫 4F Western Language Books</v>
      </c>
      <c r="E833" s="1" t="str">
        <f>("QA76.76.D47 G212 2001")</f>
        <v>QA76.76.D47 G212 2001</v>
      </c>
      <c r="G833" s="1" t="str">
        <f>("xxxii, 363 p. : ")</f>
        <v xml:space="preserve">xxxii, 363 p. : </v>
      </c>
      <c r="H833" s="1" t="str">
        <f>("ill. ; ")</f>
        <v xml:space="preserve">ill. ; </v>
      </c>
      <c r="I833" s="1" t="str">
        <f>("24 cm. ")</f>
        <v xml:space="preserve">24 cm. </v>
      </c>
    </row>
    <row r="834" spans="2:9" x14ac:dyDescent="0.25">
      <c r="B834" s="1" t="str">
        <f>("W00002817")</f>
        <v>W00002817</v>
      </c>
      <c r="C834" s="1" t="str">
        <f>("Developing applications with Exchange 2000 : a programmers reference / ")</f>
        <v xml:space="preserve">Developing applications with Exchange 2000 : a programmers reference / </v>
      </c>
      <c r="D834" s="1" t="str">
        <f t="shared" si="30"/>
        <v>4F西文書庫 4F Western Language Books</v>
      </c>
      <c r="E834" s="1" t="str">
        <f>("QA76.76.D47 J32 2000")</f>
        <v>QA76.76.D47 J32 2000</v>
      </c>
    </row>
    <row r="835" spans="2:9" x14ac:dyDescent="0.25">
      <c r="B835" s="1" t="str">
        <f>("W00002853")</f>
        <v>W00002853</v>
      </c>
      <c r="C835" s="1" t="str">
        <f>("Design patterns and contracts / ")</f>
        <v xml:space="preserve">Design patterns and contracts / </v>
      </c>
      <c r="D835" s="1" t="str">
        <f t="shared" si="30"/>
        <v>4F西文書庫 4F Western Language Books</v>
      </c>
      <c r="E835" s="1" t="str">
        <f>("QA76.76.D47 J43 2000")</f>
        <v>QA76.76.D47 J43 2000</v>
      </c>
    </row>
    <row r="836" spans="2:9" x14ac:dyDescent="0.25">
      <c r="B836" s="1" t="str">
        <f>("W00002727")</f>
        <v>W00002727</v>
      </c>
      <c r="C836" s="1" t="str">
        <f>("Active Directory programming / ")</f>
        <v xml:space="preserve">Active Directory programming / </v>
      </c>
      <c r="D836" s="1" t="str">
        <f t="shared" si="30"/>
        <v>4F西文書庫 4F Western Language Books</v>
      </c>
      <c r="E836" s="1" t="str">
        <f>("QA76.76.D47 K59 2000")</f>
        <v>QA76.76.D47 K59 2000</v>
      </c>
    </row>
    <row r="837" spans="2:9" x14ac:dyDescent="0.25">
      <c r="B837" s="1" t="str">
        <f>("W00002641")</f>
        <v>W00002641</v>
      </c>
      <c r="C837" s="1" t="str">
        <f>(" The rational unified process :  an introduction / ")</f>
        <v xml:space="preserve"> The rational unified process :  an introduction / </v>
      </c>
      <c r="D837" s="1" t="str">
        <f t="shared" si="30"/>
        <v>4F西文書庫 4F Western Language Books</v>
      </c>
      <c r="E837" s="1" t="str">
        <f>("QA76.76.D47 K94 2000")</f>
        <v>QA76.76.D47 K94 2000</v>
      </c>
    </row>
    <row r="838" spans="2:9" x14ac:dyDescent="0.25">
      <c r="B838" s="1" t="str">
        <f>("W00003250")</f>
        <v>W00003250</v>
      </c>
      <c r="C838" s="1" t="str">
        <f>("An introduction to expert systems :knowledge-based systems /")</f>
        <v>An introduction to expert systems :knowledge-based systems /</v>
      </c>
      <c r="D838" s="1" t="str">
        <f t="shared" si="30"/>
        <v>4F西文書庫 4F Western Language Books</v>
      </c>
      <c r="E838" s="1" t="str">
        <f>("QA76.76.E95 M688 1992")</f>
        <v>QA76.76.E95 M688 1992</v>
      </c>
    </row>
    <row r="839" spans="2:9" x14ac:dyDescent="0.25">
      <c r="B839" s="1" t="str">
        <f>("W00002811")</f>
        <v>W00002811</v>
      </c>
      <c r="C839" s="1" t="str">
        <f>("Sams teach yourself XML in 24 hours / ")</f>
        <v xml:space="preserve">Sams teach yourself XML in 24 hours / </v>
      </c>
      <c r="D839" s="1" t="str">
        <f t="shared" si="30"/>
        <v>4F西文書庫 4F Western Language Books</v>
      </c>
      <c r="E839" s="1" t="str">
        <f>("QA76.76.H94 A821 2000")</f>
        <v>QA76.76.H94 A821 2000</v>
      </c>
    </row>
    <row r="840" spans="2:9" x14ac:dyDescent="0.25">
      <c r="B840" s="1" t="str">
        <f>("W00003242")</f>
        <v>W00003242</v>
      </c>
      <c r="C840" s="1" t="str">
        <f>("Web page :scripting techniques /")</f>
        <v>Web page :scripting techniques /</v>
      </c>
      <c r="D840" s="1" t="str">
        <f t="shared" si="30"/>
        <v>4F西文書庫 4F Western Language Books</v>
      </c>
      <c r="E840" s="1" t="str">
        <f>("QA76.76.H94 B655 1996")</f>
        <v>QA76.76.H94 B655 1996</v>
      </c>
    </row>
    <row r="841" spans="2:9" x14ac:dyDescent="0.25">
      <c r="B841" s="1" t="str">
        <f>("W00002691")</f>
        <v>W00002691</v>
      </c>
      <c r="C841" s="1" t="str">
        <f>("Building corporate portals using XML /")</f>
        <v>Building corporate portals using XML /</v>
      </c>
      <c r="D841" s="1" t="str">
        <f t="shared" si="30"/>
        <v>4F西文書庫 4F Western Language Books</v>
      </c>
      <c r="E841" s="1" t="str">
        <f>("QA76.76.H94 F499 1999")</f>
        <v>QA76.76.H94 F499 1999</v>
      </c>
      <c r="G841" s="1" t="str">
        <f>("529p.")</f>
        <v>529p.</v>
      </c>
      <c r="H841" s="1" t="str">
        <f>("24 cm.")</f>
        <v>24 cm.</v>
      </c>
    </row>
    <row r="842" spans="2:9" x14ac:dyDescent="0.25">
      <c r="B842" s="1" t="str">
        <f>("W00002591")</f>
        <v>W00002591</v>
      </c>
      <c r="C842" s="1" t="str">
        <f>("The XML handbook / ")</f>
        <v xml:space="preserve">The XML handbook / </v>
      </c>
      <c r="D842" s="1" t="str">
        <f t="shared" si="30"/>
        <v>4F西文書庫 4F Western Language Books</v>
      </c>
      <c r="E842" s="1" t="str">
        <f>("QA76.76.H94 G618 2001")</f>
        <v>QA76.76.H94 G618 2001</v>
      </c>
      <c r="F842" s="1" t="str">
        <f>("一張光碟片")</f>
        <v>一張光碟片</v>
      </c>
    </row>
    <row r="843" spans="2:9" x14ac:dyDescent="0.25">
      <c r="B843" s="1" t="str">
        <f>("W00002896")</f>
        <v>W00002896</v>
      </c>
      <c r="C843" s="1" t="str">
        <f>("Dynamic HTML : the definitive reference / ")</f>
        <v xml:space="preserve">Dynamic HTML : the definitive reference / </v>
      </c>
      <c r="D843" s="1" t="str">
        <f t="shared" si="30"/>
        <v>4F西文書庫 4F Western Language Books</v>
      </c>
      <c r="E843" s="1" t="str">
        <f>("QA76.76.H94 G653 1998")</f>
        <v>QA76.76.H94 G653 1998</v>
      </c>
    </row>
    <row r="844" spans="2:9" x14ac:dyDescent="0.25">
      <c r="B844" s="1" t="str">
        <f>("W00002880")</f>
        <v>W00002880</v>
      </c>
      <c r="C844" s="1" t="str">
        <f>("Inside XML  ")</f>
        <v xml:space="preserve">Inside XML  </v>
      </c>
      <c r="D844" s="1" t="str">
        <f t="shared" si="30"/>
        <v>4F西文書庫 4F Western Language Books</v>
      </c>
      <c r="E844" s="1" t="str">
        <f>("QA76.76.H94 H762 2001")</f>
        <v>QA76.76.H94 H762 2001</v>
      </c>
    </row>
    <row r="845" spans="2:9" x14ac:dyDescent="0.25">
      <c r="B845" s="1" t="str">
        <f>("W00002756")</f>
        <v>W00002756</v>
      </c>
      <c r="C845" s="1" t="str">
        <f>("Building Oracle XML applications / ")</f>
        <v xml:space="preserve">Building Oracle XML applications / </v>
      </c>
      <c r="D845" s="1" t="str">
        <f>("3F採編組辦公室")</f>
        <v>3F採編組辦公室</v>
      </c>
      <c r="E845" s="1" t="str">
        <f>("QA76.76.H94 M948 2000")</f>
        <v>QA76.76.H94 M948 2000</v>
      </c>
    </row>
    <row r="846" spans="2:9" x14ac:dyDescent="0.25">
      <c r="B846" s="1" t="str">
        <f>("W00002924")</f>
        <v>W00002924</v>
      </c>
      <c r="C846" s="1" t="str">
        <f>("Oracle XML handbook / ")</f>
        <v xml:space="preserve">Oracle XML handbook / </v>
      </c>
      <c r="D846" s="1" t="str">
        <f>("4F西文書庫 4F Western Language Books")</f>
        <v>4F西文書庫 4F Western Language Books</v>
      </c>
      <c r="E846" s="1" t="str">
        <f>("QA76.76.H94 O63 2000")</f>
        <v>QA76.76.H94 O63 2000</v>
      </c>
    </row>
    <row r="847" spans="2:9" x14ac:dyDescent="0.25">
      <c r="B847" s="1" t="str">
        <f>("W00003244")</f>
        <v>W00003244</v>
      </c>
      <c r="C847" s="1" t="str">
        <f>("Dynamic HTML in action /")</f>
        <v>Dynamic HTML in action /</v>
      </c>
      <c r="D847" s="1" t="str">
        <f>("4F西文書庫 4F Western Language Books")</f>
        <v>4F西文書庫 4F Western Language Books</v>
      </c>
      <c r="E847" s="1" t="str">
        <f>("QA76.76.H94 P226 1998")</f>
        <v>QA76.76.H94 P226 1998</v>
      </c>
    </row>
    <row r="848" spans="2:9" x14ac:dyDescent="0.25">
      <c r="B848" s="1" t="str">
        <f>("W00002621")</f>
        <v>W00002621</v>
      </c>
      <c r="C848" s="1" t="str">
        <f>("Using XML  ")</f>
        <v xml:space="preserve">Using XML  </v>
      </c>
      <c r="D848" s="1" t="str">
        <f>("4F西文書庫 4F Western Language Books")</f>
        <v>4F西文書庫 4F Western Language Books</v>
      </c>
      <c r="E848" s="1" t="str">
        <f>("QA76.76.H94 P558 2000")</f>
        <v>QA76.76.H94 P558 2000</v>
      </c>
    </row>
    <row r="849" spans="2:10" x14ac:dyDescent="0.25">
      <c r="B849" s="1" t="str">
        <f>("W00002735")</f>
        <v>W00002735</v>
      </c>
      <c r="C849" s="1" t="str">
        <f>("Learning XML :creating self-describing data /")</f>
        <v>Learning XML :creating self-describing data /</v>
      </c>
      <c r="D849" s="1" t="str">
        <f>("4F西文書庫 4F Western Language Books")</f>
        <v>4F西文書庫 4F Western Language Books</v>
      </c>
      <c r="E849" s="1" t="str">
        <f>("QA76.76.H94 R263 2001")</f>
        <v>QA76.76.H94 R263 2001</v>
      </c>
    </row>
    <row r="850" spans="2:10" x14ac:dyDescent="0.25">
      <c r="B850" s="1" t="str">
        <f>("W00002706")</f>
        <v>W00002706</v>
      </c>
      <c r="C850" s="1" t="str">
        <f>("Building XML applications / ")</f>
        <v xml:space="preserve">Building XML applications / </v>
      </c>
      <c r="D850" s="1" t="str">
        <f>("4F西文書庫 4F Western Language Books")</f>
        <v>4F西文書庫 4F Western Language Books</v>
      </c>
      <c r="E850" s="1" t="str">
        <f>("QA76.76.H94 S782 1999")</f>
        <v>QA76.76.H94 S782 1999</v>
      </c>
    </row>
    <row r="851" spans="2:10" x14ac:dyDescent="0.25">
      <c r="B851" s="1" t="str">
        <f>("W00002728")</f>
        <v>W00002728</v>
      </c>
      <c r="C851" s="1" t="str">
        <f>("Inside XML DTDs  ")</f>
        <v xml:space="preserve">Inside XML DTDs  </v>
      </c>
      <c r="D851" s="1" t="str">
        <f>("3F採編組辦公室")</f>
        <v>3F採編組辦公室</v>
      </c>
      <c r="E851" s="1" t="str">
        <f>("QA76.76.H94 S782 1999-2")</f>
        <v>QA76.76.H94 S782 1999-2</v>
      </c>
    </row>
    <row r="852" spans="2:10" x14ac:dyDescent="0.25">
      <c r="B852" s="1" t="str">
        <f>("W00002742")</f>
        <v>W00002742</v>
      </c>
      <c r="C852" s="1" t="str">
        <f>("Linux internals / ")</f>
        <v xml:space="preserve">Linux internals / </v>
      </c>
      <c r="D852" s="1" t="str">
        <f t="shared" ref="D852:D877" si="31">("4F西文書庫 4F Western Language Books")</f>
        <v>4F西文書庫 4F Western Language Books</v>
      </c>
      <c r="E852" s="1" t="str">
        <f>("QA76.76.O63 B223 2000")</f>
        <v>QA76.76.O63 B223 2000</v>
      </c>
    </row>
    <row r="853" spans="2:10" x14ac:dyDescent="0.25">
      <c r="B853" s="1" t="str">
        <f>("W00002997")</f>
        <v>W00002997</v>
      </c>
      <c r="C853" s="1" t="str">
        <f>("SSH, the secure shell :  the defenitive guide / ")</f>
        <v xml:space="preserve">SSH, the secure shell :  the defenitive guide / </v>
      </c>
      <c r="D853" s="1" t="str">
        <f t="shared" si="31"/>
        <v>4F西文書庫 4F Western Language Books</v>
      </c>
      <c r="E853" s="1" t="str">
        <f>("QA76.76.O63 B274 2001")</f>
        <v>QA76.76.O63 B274 2001</v>
      </c>
    </row>
    <row r="854" spans="2:10" x14ac:dyDescent="0.25">
      <c r="B854" s="1" t="str">
        <f>("W00002899")</f>
        <v>W00002899</v>
      </c>
      <c r="C854" s="1" t="str">
        <f>("Unix Secure Shell / ")</f>
        <v xml:space="preserve">Unix Secure Shell / </v>
      </c>
      <c r="D854" s="1" t="str">
        <f t="shared" si="31"/>
        <v>4F西文書庫 4F Western Language Books</v>
      </c>
      <c r="E854" s="1" t="str">
        <f>("QA76.76.O63 C258 1999")</f>
        <v>QA76.76.O63 C258 1999</v>
      </c>
    </row>
    <row r="855" spans="2:10" x14ac:dyDescent="0.25">
      <c r="B855" s="1" t="str">
        <f>("W00002892")</f>
        <v>W00002892</v>
      </c>
      <c r="C855" s="1" t="str">
        <f>("Win32 multithreaded programming /")</f>
        <v>Win32 multithreaded programming /</v>
      </c>
      <c r="D855" s="1" t="str">
        <f t="shared" si="31"/>
        <v>4F西文書庫 4F Western Language Books</v>
      </c>
      <c r="E855" s="1" t="str">
        <f>("QA76.76.O63 C678 1998")</f>
        <v>QA76.76.O63 C678 1998</v>
      </c>
      <c r="G855" s="1" t="str">
        <f>("xv, 705 p. :")</f>
        <v>xv, 705 p. :</v>
      </c>
      <c r="H855" s="1" t="str">
        <f>("ill. ;")</f>
        <v>ill. ;</v>
      </c>
      <c r="I855" s="1" t="str">
        <f>("24 cm. +")</f>
        <v>24 cm. +</v>
      </c>
      <c r="J855" s="1" t="str">
        <f>("1 computer laser optical disc (4 3/4 in.) ")</f>
        <v xml:space="preserve">1 computer laser optical disc (4 3/4 in.) </v>
      </c>
    </row>
    <row r="856" spans="2:10" x14ac:dyDescent="0.25">
      <c r="B856" s="1" t="str">
        <f>("W00002928")</f>
        <v>W00002928</v>
      </c>
      <c r="C856" s="1" t="str">
        <f>("The concise guide to Microsoft Windows 2000 DNS / ")</f>
        <v xml:space="preserve">The concise guide to Microsoft Windows 2000 DNS / </v>
      </c>
      <c r="D856" s="1" t="str">
        <f t="shared" si="31"/>
        <v>4F西文書庫 4F Western Language Books</v>
      </c>
      <c r="E856" s="1" t="str">
        <f>("QA76.76.O63 C699 2000")</f>
        <v>QA76.76.O63 C699 2000</v>
      </c>
    </row>
    <row r="857" spans="2:10" x14ac:dyDescent="0.25">
      <c r="B857" s="1" t="str">
        <f>("W00003267")</f>
        <v>W00003267</v>
      </c>
      <c r="C857" s="1" t="str">
        <f>("MCSE--NT Server 4 in the enterprise study guide /")</f>
        <v>MCSE--NT Server 4 in the enterprise study guide /</v>
      </c>
      <c r="D857" s="1" t="str">
        <f t="shared" si="31"/>
        <v>4F西文書庫 4F Western Language Books</v>
      </c>
      <c r="E857" s="1" t="str">
        <f>("QA76.76.O63 D675 1997")</f>
        <v>QA76.76.O63 D675 1997</v>
      </c>
    </row>
    <row r="858" spans="2:10" x14ac:dyDescent="0.25">
      <c r="B858" s="1" t="str">
        <f>("W00002733")</f>
        <v>W00002733</v>
      </c>
      <c r="C858" s="1" t="str">
        <f>("Crossing platforms : a Macintosh/Windows phrasebook / ")</f>
        <v xml:space="preserve">Crossing platforms : a Macintosh/Windows phrasebook / </v>
      </c>
      <c r="D858" s="1" t="str">
        <f t="shared" si="31"/>
        <v>4F西文書庫 4F Western Language Books</v>
      </c>
      <c r="E858" s="1" t="str">
        <f>("QA76.76.O63 E57 1999")</f>
        <v>QA76.76.O63 E57 1999</v>
      </c>
    </row>
    <row r="859" spans="2:10" x14ac:dyDescent="0.25">
      <c r="B859" s="1" t="str">
        <f>("W00002610")</f>
        <v>W00002610</v>
      </c>
      <c r="C859" s="1" t="str">
        <f>("Mastering windows 2000 programming with Visual C++ / ")</f>
        <v xml:space="preserve">Mastering windows 2000 programming with Visual C++ / </v>
      </c>
      <c r="D859" s="1" t="str">
        <f t="shared" si="31"/>
        <v>4F西文書庫 4F Western Language Books</v>
      </c>
      <c r="E859" s="1" t="str">
        <f>("QA76.76.O63 E99 2000")</f>
        <v>QA76.76.O63 E99 2000</v>
      </c>
    </row>
    <row r="860" spans="2:10" x14ac:dyDescent="0.25">
      <c r="B860" s="1" t="str">
        <f>("W00002683")</f>
        <v>W00002683</v>
      </c>
      <c r="C860" s="1" t="str">
        <f>("Optimizing Windows for games, graphics and multimedia / ")</f>
        <v xml:space="preserve">Optimizing Windows for games, graphics and multimedia / </v>
      </c>
      <c r="D860" s="1" t="str">
        <f t="shared" si="31"/>
        <v>4F西文書庫 4F Western Language Books</v>
      </c>
      <c r="E860" s="1" t="str">
        <f>("QA76.76.O63 F238 2000")</f>
        <v>QA76.76.O63 F238 2000</v>
      </c>
    </row>
    <row r="861" spans="2:10" x14ac:dyDescent="0.25">
      <c r="B861" s="1" t="str">
        <f>("W00002981")</f>
        <v>W00002981</v>
      </c>
      <c r="C861" s="1" t="str">
        <f>("Red Hat Linux 6.0 administration tools / ")</f>
        <v xml:space="preserve">Red Hat Linux 6.0 administration tools / </v>
      </c>
      <c r="D861" s="1" t="str">
        <f t="shared" si="31"/>
        <v>4F西文書庫 4F Western Language Books</v>
      </c>
      <c r="E861" s="1" t="str">
        <f>("QA76.76.O63 F533 2000")</f>
        <v>QA76.76.O63 F533 2000</v>
      </c>
    </row>
    <row r="862" spans="2:10" x14ac:dyDescent="0.25">
      <c r="B862" s="1" t="str">
        <f>("W00002833")</f>
        <v>W00002833</v>
      </c>
      <c r="C862" s="1" t="str">
        <f>("Palm OS programming Bible / ")</f>
        <v xml:space="preserve">Palm OS programming Bible / </v>
      </c>
      <c r="D862" s="1" t="str">
        <f t="shared" si="31"/>
        <v>4F西文書庫 4F Western Language Books</v>
      </c>
      <c r="E862" s="1" t="str">
        <f>("QA76.76.O63 F754 2000")</f>
        <v>QA76.76.O63 F754 2000</v>
      </c>
    </row>
    <row r="863" spans="2:10" x14ac:dyDescent="0.25">
      <c r="B863" s="1" t="str">
        <f>("W00002845")</f>
        <v>W00002845</v>
      </c>
      <c r="C863" s="1" t="str">
        <f>("Essential Windows NT system administration / ")</f>
        <v xml:space="preserve">Essential Windows NT system administration / </v>
      </c>
      <c r="D863" s="1" t="str">
        <f t="shared" si="31"/>
        <v>4F西文書庫 4F Western Language Books</v>
      </c>
      <c r="E863" s="1" t="str">
        <f>("QA76.76.O63 F917 1998")</f>
        <v>QA76.76.O63 F917 1998</v>
      </c>
    </row>
    <row r="864" spans="2:10" x14ac:dyDescent="0.25">
      <c r="B864" s="1" t="str">
        <f>("W00002754")</f>
        <v>W00002754</v>
      </c>
      <c r="C864" s="1" t="str">
        <f>("Admin911: windows 2000 registry/ ")</f>
        <v xml:space="preserve">Admin911: windows 2000 registry/ </v>
      </c>
      <c r="D864" s="1" t="str">
        <f t="shared" si="31"/>
        <v>4F西文書庫 4F Western Language Books</v>
      </c>
      <c r="E864" s="1" t="str">
        <f>("QA76.76.O63 I94 2001")</f>
        <v>QA76.76.O63 I94 2001</v>
      </c>
    </row>
    <row r="865" spans="2:10" x14ac:dyDescent="0.25">
      <c r="B865" s="1" t="str">
        <f>("W00002755")</f>
        <v>W00002755</v>
      </c>
      <c r="C865" s="1" t="str">
        <f>("Windows 2000 group policy / ")</f>
        <v xml:space="preserve">Windows 2000 group policy / </v>
      </c>
      <c r="D865" s="1" t="str">
        <f t="shared" si="31"/>
        <v>4F西文書庫 4F Western Language Books</v>
      </c>
      <c r="E865" s="1" t="str">
        <f>("QA76.76.O63 J54 2001")</f>
        <v>QA76.76.O63 J54 2001</v>
      </c>
    </row>
    <row r="866" spans="2:10" x14ac:dyDescent="0.25">
      <c r="B866" s="1" t="str">
        <f>("W00002787")</f>
        <v>W00002787</v>
      </c>
      <c r="C866" s="1" t="str">
        <f>("Programming with GNU software /")</f>
        <v>Programming with GNU software /</v>
      </c>
      <c r="D866" s="1" t="str">
        <f t="shared" si="31"/>
        <v>4F西文書庫 4F Western Language Books</v>
      </c>
      <c r="E866" s="1" t="str">
        <f>("QA76.76.O63 L886 1997")</f>
        <v>QA76.76.O63 L886 1997</v>
      </c>
    </row>
    <row r="867" spans="2:10" x14ac:dyDescent="0.25">
      <c r="B867" s="1" t="str">
        <f>("W00002874")</f>
        <v>W00002874</v>
      </c>
      <c r="C867" s="1" t="str">
        <f>("Learning Red Hat Linux / ")</f>
        <v xml:space="preserve">Learning Red Hat Linux / </v>
      </c>
      <c r="D867" s="1" t="str">
        <f t="shared" si="31"/>
        <v>4F西文書庫 4F Western Language Books</v>
      </c>
      <c r="E867" s="1" t="str">
        <f>("QA76.76.O63 M111 1999")</f>
        <v>QA76.76.O63 M111 1999</v>
      </c>
    </row>
    <row r="868" spans="2:10" x14ac:dyDescent="0.25">
      <c r="B868" s="1" t="str">
        <f>("W00002855")</f>
        <v>W00002855</v>
      </c>
      <c r="C868" s="1" t="str">
        <f>("Integrating Linux and Windows / ")</f>
        <v xml:space="preserve">Integrating Linux and Windows / </v>
      </c>
      <c r="D868" s="1" t="str">
        <f t="shared" si="31"/>
        <v>4F西文書庫 4F Western Language Books</v>
      </c>
      <c r="E868" s="1" t="str">
        <f>("QA76.76.O63 M111:2 2000")</f>
        <v>QA76.76.O63 M111:2 2000</v>
      </c>
    </row>
    <row r="869" spans="2:10" x14ac:dyDescent="0.25">
      <c r="B869" s="1" t="str">
        <f>("W00002850")</f>
        <v>W00002850</v>
      </c>
      <c r="C869" s="1" t="str">
        <f>("Mastering Windows 2000 Professional /")</f>
        <v>Mastering Windows 2000 Professional /</v>
      </c>
      <c r="D869" s="1" t="str">
        <f t="shared" si="31"/>
        <v>4F西文書庫 4F Western Language Books</v>
      </c>
      <c r="E869" s="1" t="str">
        <f>("QA76.76.O63 M663 2000")</f>
        <v>QA76.76.O63 M663 2000</v>
      </c>
    </row>
    <row r="870" spans="2:10" x14ac:dyDescent="0.25">
      <c r="B870" s="1" t="str">
        <f>("W00002745")</f>
        <v>W00002745</v>
      </c>
      <c r="C870" s="1" t="str">
        <f>("Securing Windows NT/2000 servers for the internet / ")</f>
        <v xml:space="preserve">Securing Windows NT/2000 servers for the internet / </v>
      </c>
      <c r="D870" s="1" t="str">
        <f t="shared" si="31"/>
        <v>4F西文書庫 4F Western Language Books</v>
      </c>
      <c r="E870" s="1" t="str">
        <f>("QA76.76.O63 N823 2001")</f>
        <v>QA76.76.O63 N823 2001</v>
      </c>
    </row>
    <row r="871" spans="2:10" x14ac:dyDescent="0.25">
      <c r="B871" s="1" t="str">
        <f>("W00003238")</f>
        <v>W00003238</v>
      </c>
      <c r="C871" s="1" t="str">
        <f>("Operating systems :a modern perspective /")</f>
        <v>Operating systems :a modern perspective /</v>
      </c>
      <c r="D871" s="1" t="str">
        <f t="shared" si="31"/>
        <v>4F西文書庫 4F Western Language Books</v>
      </c>
      <c r="E871" s="1" t="str">
        <f>("QA76.76.O63 N976 1997")</f>
        <v>QA76.76.O63 N976 1997</v>
      </c>
      <c r="G871" s="1" t="str">
        <f>("xxii, 630 p. :")</f>
        <v>xxii, 630 p. :</v>
      </c>
      <c r="H871" s="1" t="str">
        <f>("ill. ;")</f>
        <v>ill. ;</v>
      </c>
      <c r="I871" s="1" t="str">
        <f>("24 cm.")</f>
        <v>24 cm.</v>
      </c>
    </row>
    <row r="872" spans="2:10" x14ac:dyDescent="0.25">
      <c r="B872" s="1" t="str">
        <f>("W00002741")</f>
        <v>W00002741</v>
      </c>
      <c r="C872" s="1" t="str">
        <f>("Kernel projects for Linux / ")</f>
        <v xml:space="preserve">Kernel projects for Linux / </v>
      </c>
      <c r="D872" s="1" t="str">
        <f t="shared" si="31"/>
        <v>4F西文書庫 4F Western Language Books</v>
      </c>
      <c r="E872" s="1" t="str">
        <f>("QA76.76.O63 N977 2001")</f>
        <v>QA76.76.O63 N977 2001</v>
      </c>
    </row>
    <row r="873" spans="2:10" x14ac:dyDescent="0.25">
      <c r="B873" s="1" t="str">
        <f>("W00002934")</f>
        <v>W00002934</v>
      </c>
      <c r="C873" s="1" t="str">
        <f>("Learning the UNIX operating system /")</f>
        <v>Learning the UNIX operating system /</v>
      </c>
      <c r="D873" s="1" t="str">
        <f t="shared" si="31"/>
        <v>4F西文書庫 4F Western Language Books</v>
      </c>
      <c r="E873" s="1" t="str">
        <f>("QA76.76.O63 P373 1998")</f>
        <v>QA76.76.O63 P373 1998</v>
      </c>
    </row>
    <row r="874" spans="2:10" x14ac:dyDescent="0.25">
      <c r="B874" s="1" t="str">
        <f>("W00002623")</f>
        <v>W00002623</v>
      </c>
      <c r="C874" s="1" t="str">
        <f>("Sams teach yourself Microsoft Windows Me Millennium edition in 24 hours / ")</f>
        <v xml:space="preserve">Sams teach yourself Microsoft Windows Me Millennium edition in 24 hours / </v>
      </c>
      <c r="D874" s="1" t="str">
        <f t="shared" si="31"/>
        <v>4F西文書庫 4F Western Language Books</v>
      </c>
      <c r="E874" s="1" t="str">
        <f>("QA76.76.O63 P462 2000")</f>
        <v>QA76.76.O63 P462 2000</v>
      </c>
    </row>
    <row r="875" spans="2:10" x14ac:dyDescent="0.25">
      <c r="B875" s="1" t="str">
        <f>("W00002589")</f>
        <v>W00002589</v>
      </c>
      <c r="C875" s="1" t="str">
        <f>("Practical Linux  ")</f>
        <v xml:space="preserve">Practical Linux  </v>
      </c>
      <c r="D875" s="1" t="str">
        <f t="shared" si="31"/>
        <v>4F西文書庫 4F Western Language Books</v>
      </c>
      <c r="E875" s="1" t="str">
        <f>("QA76.76.O63 P896 2000")</f>
        <v>QA76.76.O63 P896 2000</v>
      </c>
    </row>
    <row r="876" spans="2:10" x14ac:dyDescent="0.25">
      <c r="B876" s="1" t="str">
        <f>("W00002751")</f>
        <v>W00002751</v>
      </c>
      <c r="C876" s="1" t="str">
        <f>("Sams teach yourself UNIX system administration in 21 days / ")</f>
        <v xml:space="preserve">Sams teach yourself UNIX system administration in 21 days / </v>
      </c>
      <c r="D876" s="1" t="str">
        <f t="shared" si="31"/>
        <v>4F西文書庫 4F Western Language Books</v>
      </c>
      <c r="E876" s="1" t="str">
        <f>("QA76.76.O63 R263 1999")</f>
        <v>QA76.76.O63 R263 1999</v>
      </c>
    </row>
    <row r="877" spans="2:10" x14ac:dyDescent="0.25">
      <c r="B877" s="1" t="str">
        <f>("W00002626")</f>
        <v>W00002626</v>
      </c>
      <c r="C877" s="1" t="str">
        <f>("Caldera OpenLinux system administration unleashed / ")</f>
        <v xml:space="preserve">Caldera OpenLinux system administration unleashed / </v>
      </c>
      <c r="D877" s="1" t="str">
        <f t="shared" si="31"/>
        <v>4F西文書庫 4F Western Language Books</v>
      </c>
      <c r="E877" s="1" t="str">
        <f>("QA76.76.O63 S324 2000")</f>
        <v>QA76.76.O63 S324 2000</v>
      </c>
      <c r="G877" s="1" t="str">
        <f>("xxiii, 1120 p. : ")</f>
        <v xml:space="preserve">xxiii, 1120 p. : </v>
      </c>
      <c r="H877" s="1" t="str">
        <f>("ill. ; ")</f>
        <v xml:space="preserve">ill. ; </v>
      </c>
      <c r="I877" s="1" t="str">
        <f>("23 cm. + ")</f>
        <v xml:space="preserve">23 cm. + </v>
      </c>
      <c r="J877" s="1" t="str">
        <f>(" 1 computer optical disc (4 3/4 in.) ")</f>
        <v xml:space="preserve"> 1 computer optical disc (4 3/4 in.) </v>
      </c>
    </row>
    <row r="878" spans="2:10" x14ac:dyDescent="0.25">
      <c r="B878" s="1" t="str">
        <f>("W00002633")</f>
        <v>W00002633</v>
      </c>
      <c r="C878" s="1" t="str">
        <f>("Caldera OpenLinux system administration unleashed / ")</f>
        <v xml:space="preserve">Caldera OpenLinux system administration unleashed / </v>
      </c>
      <c r="D878" s="1" t="str">
        <f>("罕用書庫1-洽櫃台填單 Upon-Request Collection1 fil")</f>
        <v>罕用書庫1-洽櫃台填單 Upon-Request Collection1 fil</v>
      </c>
      <c r="E878" s="1" t="str">
        <f>("QA76.76.O63 S324 2000 c.2")</f>
        <v>QA76.76.O63 S324 2000 c.2</v>
      </c>
      <c r="G878" s="1" t="str">
        <f>("xxiii, 1120 p. : ")</f>
        <v xml:space="preserve">xxiii, 1120 p. : </v>
      </c>
      <c r="H878" s="1" t="str">
        <f>("ill. ; ")</f>
        <v xml:space="preserve">ill. ; </v>
      </c>
      <c r="I878" s="1" t="str">
        <f>("23 cm. + ")</f>
        <v xml:space="preserve">23 cm. + </v>
      </c>
      <c r="J878" s="1" t="str">
        <f>(" 1 computer optical disc (4 3/4 in.) ")</f>
        <v xml:space="preserve"> 1 computer optical disc (4 3/4 in.) </v>
      </c>
    </row>
    <row r="879" spans="2:10" x14ac:dyDescent="0.25">
      <c r="B879" s="1" t="str">
        <f>("W00002714")</f>
        <v>W00002714</v>
      </c>
      <c r="C879" s="1" t="str">
        <f>("Concise guide to enterprise internetworking and security / ")</f>
        <v xml:space="preserve">Concise guide to enterprise internetworking and security / </v>
      </c>
      <c r="D879" s="1" t="str">
        <f t="shared" ref="D879:D910" si="32">("4F西文書庫 4F Western Language Books")</f>
        <v>4F西文書庫 4F Western Language Books</v>
      </c>
      <c r="E879" s="1" t="str">
        <f>("QA76.76.O63 S345 2001")</f>
        <v>QA76.76.O63 S345 2001</v>
      </c>
    </row>
    <row r="880" spans="2:10" x14ac:dyDescent="0.25">
      <c r="B880" s="1" t="str">
        <f>("W00002753")</f>
        <v>W00002753</v>
      </c>
      <c r="C880" s="1" t="str">
        <f>("Windows 2000 terminal services / ")</f>
        <v xml:space="preserve">Windows 2000 terminal services / </v>
      </c>
      <c r="D880" s="1" t="str">
        <f t="shared" si="32"/>
        <v>4F西文書庫 4F Western Language Books</v>
      </c>
      <c r="E880" s="1" t="str">
        <f>("QA76.76.O63 S464 2001")</f>
        <v>QA76.76.O63 S464 2001</v>
      </c>
    </row>
    <row r="881" spans="2:5" x14ac:dyDescent="0.25">
      <c r="B881" s="1" t="str">
        <f>("W00002915")</f>
        <v>W00002915</v>
      </c>
      <c r="C881" s="1" t="str">
        <f>("Linux administration : a beginner's guide / ")</f>
        <v xml:space="preserve">Linux administration : a beginner's guide / </v>
      </c>
      <c r="D881" s="1" t="str">
        <f t="shared" si="32"/>
        <v>4F西文書庫 4F Western Language Books</v>
      </c>
      <c r="E881" s="1" t="str">
        <f>("QA76.76.O63 S524 2001")</f>
        <v>QA76.76.O63 S524 2001</v>
      </c>
    </row>
    <row r="882" spans="2:5" x14ac:dyDescent="0.25">
      <c r="B882" s="1" t="str">
        <f>("W00002914")</f>
        <v>W00002914</v>
      </c>
      <c r="C882" s="1" t="str">
        <f>("A practical guide to Solaris / ")</f>
        <v xml:space="preserve">A practical guide to Solaris / </v>
      </c>
      <c r="D882" s="1" t="str">
        <f t="shared" si="32"/>
        <v>4F西文書庫 4F Western Language Books</v>
      </c>
      <c r="E882" s="1" t="str">
        <f>("QA76.76.O63 S677 1999")</f>
        <v>QA76.76.O63 S677 1999</v>
      </c>
    </row>
    <row r="883" spans="2:5" x14ac:dyDescent="0.25">
      <c r="B883" s="1" t="str">
        <f>("W00002648")</f>
        <v>W00002648</v>
      </c>
      <c r="C883" s="1" t="str">
        <f>("Building Linux clusters / ")</f>
        <v xml:space="preserve">Building Linux clusters / </v>
      </c>
      <c r="D883" s="1" t="str">
        <f t="shared" si="32"/>
        <v>4F西文書庫 4F Western Language Books</v>
      </c>
      <c r="E883" s="1" t="str">
        <f>("QA76.76.O63 S741 2001")</f>
        <v>QA76.76.O63 S741 2001</v>
      </c>
    </row>
    <row r="884" spans="2:5" x14ac:dyDescent="0.25">
      <c r="B884" s="1" t="str">
        <f>("W00002800")</f>
        <v>W00002800</v>
      </c>
      <c r="C884" s="1" t="str">
        <f>("UNIX fault management :a guide for system administration/")</f>
        <v>UNIX fault management :a guide for system administration/</v>
      </c>
      <c r="D884" s="1" t="str">
        <f t="shared" si="32"/>
        <v>4F西文書庫 4F Western Language Books</v>
      </c>
      <c r="E884" s="1" t="str">
        <f>("QA76.76.O63 S878 1999")</f>
        <v>QA76.76.O63 S878 1999</v>
      </c>
    </row>
    <row r="885" spans="2:5" x14ac:dyDescent="0.25">
      <c r="B885" s="1" t="str">
        <f>("W00002939")</f>
        <v>W00002939</v>
      </c>
      <c r="C885" s="1" t="str">
        <f>("Programming the Be operating system / ")</f>
        <v xml:space="preserve">Programming the Be operating system / </v>
      </c>
      <c r="D885" s="1" t="str">
        <f t="shared" si="32"/>
        <v>4F西文書庫 4F Western Language Books</v>
      </c>
      <c r="E885" s="1" t="str">
        <f>("QA76.76.O63 S982 1999")</f>
        <v>QA76.76.O63 S982 1999</v>
      </c>
    </row>
    <row r="886" spans="2:5" x14ac:dyDescent="0.25">
      <c r="B886" s="1" t="str">
        <f>("W00002625")</f>
        <v>W00002625</v>
      </c>
      <c r="C886" s="1" t="str">
        <f>("Linux system administration / ")</f>
        <v xml:space="preserve">Linux system administration / </v>
      </c>
      <c r="D886" s="1" t="str">
        <f t="shared" si="32"/>
        <v>4F西文書庫 4F Western Language Books</v>
      </c>
      <c r="E886" s="1" t="str">
        <f>("QA76.76.O73 S784 2001")</f>
        <v>QA76.76.O73 S784 2001</v>
      </c>
    </row>
    <row r="887" spans="2:5" x14ac:dyDescent="0.25">
      <c r="B887" s="1" t="str">
        <f>("W00002759")</f>
        <v>W00002759</v>
      </c>
      <c r="C887" s="1" t="str">
        <f>("Sed &amp; awk /")</f>
        <v>Sed &amp; awk /</v>
      </c>
      <c r="D887" s="1" t="str">
        <f t="shared" si="32"/>
        <v>4F西文書庫 4F Western Language Books</v>
      </c>
      <c r="E887" s="1" t="str">
        <f>("QA76.76.U84 D732 1997")</f>
        <v>QA76.76.U84 D732 1997</v>
      </c>
    </row>
    <row r="888" spans="2:5" x14ac:dyDescent="0.25">
      <c r="B888" s="1" t="str">
        <f>("W00002911")</f>
        <v>W00002911</v>
      </c>
      <c r="C888" s="1" t="str">
        <f>("Palm OS programming from the ground up / ")</f>
        <v xml:space="preserve">Palm OS programming from the ground up / </v>
      </c>
      <c r="D888" s="1" t="str">
        <f t="shared" si="32"/>
        <v>4F西文書庫 4F Western Language Books</v>
      </c>
      <c r="E888" s="1" t="str">
        <f>("QA76.8 M995 2000")</f>
        <v>QA76.8 M995 2000</v>
      </c>
    </row>
    <row r="889" spans="2:5" x14ac:dyDescent="0.25">
      <c r="B889" s="1" t="str">
        <f>("W00002938")</f>
        <v>W00002938</v>
      </c>
      <c r="C889" s="1" t="str">
        <f>("Palm OS bible  ")</f>
        <v xml:space="preserve">Palm OS bible  </v>
      </c>
      <c r="D889" s="1" t="str">
        <f t="shared" si="32"/>
        <v>4F西文書庫 4F Western Language Books</v>
      </c>
      <c r="E889" s="1" t="str">
        <f>("QA76.8.P138 B882 2000")</f>
        <v>QA76.8.P138 B882 2000</v>
      </c>
    </row>
    <row r="890" spans="2:5" x14ac:dyDescent="0.25">
      <c r="B890" s="1" t="str">
        <f>("W00002837")</f>
        <v>W00002837</v>
      </c>
      <c r="C890" s="1" t="str">
        <f>("Palm programming : the developer's guide / ")</f>
        <v xml:space="preserve">Palm programming : the developer's guide / </v>
      </c>
      <c r="D890" s="1" t="str">
        <f t="shared" si="32"/>
        <v>4F西文書庫 4F Western Language Books</v>
      </c>
      <c r="E890" s="1" t="str">
        <f>("QA76.8.P138 R476 1999")</f>
        <v>QA76.8.P138 R476 1999</v>
      </c>
    </row>
    <row r="891" spans="2:5" x14ac:dyDescent="0.25">
      <c r="B891" s="1" t="str">
        <f>("W00002902")</f>
        <v>W00002902</v>
      </c>
      <c r="C891" s="1" t="str">
        <f>("Oracle8 data warehousing / ")</f>
        <v xml:space="preserve">Oracle8 data warehousing / </v>
      </c>
      <c r="D891" s="1" t="str">
        <f t="shared" si="32"/>
        <v>4F西文書庫 4F Western Language Books</v>
      </c>
      <c r="E891" s="1" t="str">
        <f>("QA76.9 C797 1998")</f>
        <v>QA76.9 C797 1998</v>
      </c>
    </row>
    <row r="892" spans="2:5" x14ac:dyDescent="0.25">
      <c r="B892" s="1" t="str">
        <f>("W00002533")</f>
        <v>W00002533</v>
      </c>
      <c r="C892" s="1" t="str">
        <f>("Basic English for Computing")</f>
        <v>Basic English for Computing</v>
      </c>
      <c r="D892" s="1" t="str">
        <f t="shared" si="32"/>
        <v>4F西文書庫 4F Western Language Books</v>
      </c>
      <c r="E892" s="1" t="str">
        <f>("QA76.9 G558 1999 v.1")</f>
        <v>QA76.9 G558 1999 v.1</v>
      </c>
    </row>
    <row r="893" spans="2:5" x14ac:dyDescent="0.25">
      <c r="B893" s="1" t="str">
        <f>("W00002528")</f>
        <v>W00002528</v>
      </c>
      <c r="C893" s="1" t="str">
        <f>("Basic English for Computing")</f>
        <v>Basic English for Computing</v>
      </c>
      <c r="D893" s="1" t="str">
        <f t="shared" si="32"/>
        <v>4F西文書庫 4F Western Language Books</v>
      </c>
      <c r="E893" s="1" t="str">
        <f>("QA76.9 G558 1999 v.2")</f>
        <v>QA76.9 G558 1999 v.2</v>
      </c>
    </row>
    <row r="894" spans="2:5" x14ac:dyDescent="0.25">
      <c r="B894" s="1" t="str">
        <f>("W00002778")</f>
        <v>W00002778</v>
      </c>
      <c r="C894" s="1" t="str">
        <f>("Exchange 2000 server black book / ")</f>
        <v xml:space="preserve">Exchange 2000 server black book / </v>
      </c>
      <c r="D894" s="1" t="str">
        <f t="shared" si="32"/>
        <v>4F西文書庫 4F Western Language Books</v>
      </c>
      <c r="E894" s="1" t="str">
        <f>("QA76.9 G635 2000")</f>
        <v>QA76.9 G635 2000</v>
      </c>
    </row>
    <row r="895" spans="2:5" x14ac:dyDescent="0.25">
      <c r="B895" s="1" t="str">
        <f>("W00002777")</f>
        <v>W00002777</v>
      </c>
      <c r="C895" s="1" t="str">
        <f>("Building database applications on the web using PHP3 : complete with step-by-step demonstrations / ")</f>
        <v xml:space="preserve">Building database applications on the web using PHP3 : complete with step-by-step demonstrations / </v>
      </c>
      <c r="D895" s="1" t="str">
        <f t="shared" si="32"/>
        <v>4F西文書庫 4F Western Language Books</v>
      </c>
      <c r="E895" s="1" t="str">
        <f>("QA76.9 H656 2000")</f>
        <v>QA76.9 H656 2000</v>
      </c>
    </row>
    <row r="896" spans="2:5" x14ac:dyDescent="0.25">
      <c r="B896" s="1" t="str">
        <f>("W00002056")</f>
        <v>W00002056</v>
      </c>
      <c r="C896" s="1" t="str">
        <f>("Growing up digital :the rise of the net generation /")</f>
        <v>Growing up digital :the rise of the net generation /</v>
      </c>
      <c r="D896" s="1" t="str">
        <f t="shared" si="32"/>
        <v>4F西文書庫 4F Western Language Books</v>
      </c>
      <c r="E896" s="1" t="str">
        <f>("QA76.9 T172 1997")</f>
        <v>QA76.9 T172 1997</v>
      </c>
    </row>
    <row r="897" spans="2:9" x14ac:dyDescent="0.25">
      <c r="B897" s="1" t="str">
        <f>("W00002459")</f>
        <v>W00002459</v>
      </c>
      <c r="C897" s="1" t="str">
        <f>("Data Management:Databases and organizations/")</f>
        <v>Data Management:Databases and organizations/</v>
      </c>
      <c r="D897" s="1" t="str">
        <f t="shared" si="32"/>
        <v>4F西文書庫 4F Western Language Books</v>
      </c>
      <c r="E897" s="1" t="str">
        <f>("QA76.9 W338 1999")</f>
        <v>QA76.9 W338 1999</v>
      </c>
    </row>
    <row r="898" spans="2:9" x14ac:dyDescent="0.25">
      <c r="B898" s="1" t="str">
        <f>("W00002781")</f>
        <v>W00002781</v>
      </c>
      <c r="C898" s="1" t="str">
        <f>("Essential system requirements : a practical guide to event-driven methods / ")</f>
        <v xml:space="preserve">Essential system requirements : a practical guide to event-driven methods / </v>
      </c>
      <c r="D898" s="1" t="str">
        <f t="shared" si="32"/>
        <v>4F西文書庫 4F Western Language Books</v>
      </c>
      <c r="E898" s="1" t="str">
        <f>("QA76.9 W676 2000")</f>
        <v>QA76.9 W676 2000</v>
      </c>
    </row>
    <row r="899" spans="2:9" x14ac:dyDescent="0.25">
      <c r="B899" s="1" t="str">
        <f>("W00002619")</f>
        <v>W00002619</v>
      </c>
      <c r="C899" s="1" t="str">
        <f>("Understanding public-key infrastructure :concepts, standards, and deployment considerations /")</f>
        <v>Understanding public-key infrastructure :concepts, standards, and deployment considerations /</v>
      </c>
      <c r="D899" s="1" t="str">
        <f t="shared" si="32"/>
        <v>4F西文書庫 4F Western Language Books</v>
      </c>
      <c r="E899" s="1" t="str">
        <f>("QA76.9.A25 A211 1999")</f>
        <v>QA76.9.A25 A211 1999</v>
      </c>
      <c r="G899" s="1" t="str">
        <f>("xxii, 296 p. :")</f>
        <v>xxii, 296 p. :</v>
      </c>
      <c r="H899" s="1" t="str">
        <f>("ill. ;")</f>
        <v>ill. ;</v>
      </c>
      <c r="I899" s="1" t="str">
        <f>("24 cm ")</f>
        <v xml:space="preserve">24 cm </v>
      </c>
    </row>
    <row r="900" spans="2:9" x14ac:dyDescent="0.25">
      <c r="B900" s="1" t="str">
        <f>("W00002863")</f>
        <v>W00002863</v>
      </c>
      <c r="C900" s="1" t="str">
        <f>("CORBA security : an introduction to safe computing with objects / ")</f>
        <v xml:space="preserve">CORBA security : an introduction to safe computing with objects / </v>
      </c>
      <c r="D900" s="1" t="str">
        <f t="shared" si="32"/>
        <v>4F西文書庫 4F Western Language Books</v>
      </c>
      <c r="E900" s="1" t="str">
        <f>("QA76.9.A25 B636 2000")</f>
        <v>QA76.9.A25 B636 2000</v>
      </c>
    </row>
    <row r="901" spans="2:9" x14ac:dyDescent="0.25">
      <c r="B901" s="1" t="str">
        <f>("W00002665")</f>
        <v>W00002665</v>
      </c>
      <c r="C901" s="1" t="str">
        <f>("Programming Windows security / ")</f>
        <v xml:space="preserve">Programming Windows security / </v>
      </c>
      <c r="D901" s="1" t="str">
        <f t="shared" si="32"/>
        <v>4F西文書庫 4F Western Language Books</v>
      </c>
      <c r="E901" s="1" t="str">
        <f>("QA76.9.A25 B882 2000")</f>
        <v>QA76.9.A25 B882 2000</v>
      </c>
    </row>
    <row r="902" spans="2:9" x14ac:dyDescent="0.25">
      <c r="B902" s="1" t="str">
        <f>("W00002886")</f>
        <v>W00002886</v>
      </c>
      <c r="C902" s="1" t="str">
        <f>("Big book of IPsec RFCs / ")</f>
        <v xml:space="preserve">Big book of IPsec RFCs / </v>
      </c>
      <c r="D902" s="1" t="str">
        <f t="shared" si="32"/>
        <v>4F西文書庫 4F Western Language Books</v>
      </c>
      <c r="E902" s="1" t="str">
        <f>("QA76.9.A25 L879 2000")</f>
        <v>QA76.9.A25 L879 2000</v>
      </c>
    </row>
    <row r="903" spans="2:9" x14ac:dyDescent="0.25">
      <c r="B903" s="1" t="str">
        <f>("W00002854")</f>
        <v>W00002854</v>
      </c>
      <c r="C903" s="1" t="str">
        <f>("Cryptography decrypted / ")</f>
        <v xml:space="preserve">Cryptography decrypted / </v>
      </c>
      <c r="D903" s="1" t="str">
        <f t="shared" si="32"/>
        <v>4F西文書庫 4F Western Language Books</v>
      </c>
      <c r="E903" s="1" t="str">
        <f>("QA76.9.A25 M517 2001")</f>
        <v>QA76.9.A25 M517 2001</v>
      </c>
    </row>
    <row r="904" spans="2:9" x14ac:dyDescent="0.25">
      <c r="B904" s="1" t="str">
        <f>("W00002739")</f>
        <v>W00002739</v>
      </c>
      <c r="C904" s="1" t="str">
        <f>("Linux Firewalls / ")</f>
        <v xml:space="preserve">Linux Firewalls / </v>
      </c>
      <c r="D904" s="1" t="str">
        <f t="shared" si="32"/>
        <v>4F西文書庫 4F Western Language Books</v>
      </c>
      <c r="E904" s="1" t="str">
        <f>("QA76.9.A25 Z66 2000")</f>
        <v>QA76.9.A25 Z66 2000</v>
      </c>
    </row>
    <row r="905" spans="2:9" x14ac:dyDescent="0.25">
      <c r="B905" s="1" t="str">
        <f>("W00002839")</f>
        <v>W00002839</v>
      </c>
      <c r="C905" s="1" t="str">
        <f>("Compression algorithms for real programmers /")</f>
        <v>Compression algorithms for real programmers /</v>
      </c>
      <c r="D905" s="1" t="str">
        <f t="shared" si="32"/>
        <v>4F西文書庫 4F Western Language Books</v>
      </c>
      <c r="E905" s="1" t="str">
        <f>("QA76.9.A43 W359 2000")</f>
        <v>QA76.9.A43 W359 2000</v>
      </c>
      <c r="G905" s="1" t="str">
        <f>("xi, 240 p. :")</f>
        <v>xi, 240 p. :</v>
      </c>
      <c r="H905" s="1" t="str">
        <f>("ill. ;")</f>
        <v>ill. ;</v>
      </c>
      <c r="I905" s="1" t="str">
        <f>("24 cm ")</f>
        <v xml:space="preserve">24 cm </v>
      </c>
    </row>
    <row r="906" spans="2:9" x14ac:dyDescent="0.25">
      <c r="B906" s="1" t="str">
        <f>("W00002679")</f>
        <v>W00002679</v>
      </c>
      <c r="C906" s="1" t="str">
        <f>("Applying COM+ / ")</f>
        <v xml:space="preserve">Applying COM+ / </v>
      </c>
      <c r="D906" s="1" t="str">
        <f t="shared" si="32"/>
        <v>4F西文書庫 4F Western Language Books</v>
      </c>
      <c r="E906" s="1" t="str">
        <f>("QA76.9.A73 B857 2001")</f>
        <v>QA76.9.A73 B857 2001</v>
      </c>
    </row>
    <row r="907" spans="2:9" x14ac:dyDescent="0.25">
      <c r="B907" s="1" t="str">
        <f>("W00002872")</f>
        <v>W00002872</v>
      </c>
      <c r="C907" s="1" t="str">
        <f>("IT architectures and middleware : strategies for building large, integrated systems / ")</f>
        <v xml:space="preserve">IT architectures and middleware : strategies for building large, integrated systems / </v>
      </c>
      <c r="D907" s="1" t="str">
        <f t="shared" si="32"/>
        <v>4F西文書庫 4F Western Language Books</v>
      </c>
      <c r="E907" s="1" t="str">
        <f>("QA76.9.A73 B862 2001")</f>
        <v>QA76.9.A73 B862 2001</v>
      </c>
      <c r="G907" s="1" t="str">
        <f>("xxvii, 296 p. : ")</f>
        <v xml:space="preserve">xxvii, 296 p. : </v>
      </c>
      <c r="H907" s="1" t="str">
        <f>("ill. ; ")</f>
        <v xml:space="preserve">ill. ; </v>
      </c>
      <c r="I907" s="1" t="str">
        <f>("24 cm. ")</f>
        <v xml:space="preserve">24 cm. </v>
      </c>
    </row>
    <row r="908" spans="2:9" x14ac:dyDescent="0.25">
      <c r="B908" s="1" t="str">
        <f>("W00002703")</f>
        <v>W00002703</v>
      </c>
      <c r="C908" s="1" t="str">
        <f>("COM+ developer's guide / ")</f>
        <v xml:space="preserve">COM+ developer's guide / </v>
      </c>
      <c r="D908" s="1" t="str">
        <f t="shared" si="32"/>
        <v>4F西文書庫 4F Western Language Books</v>
      </c>
      <c r="E908" s="1" t="str">
        <f>("QA76.9.A73 M947 2000")</f>
        <v>QA76.9.A73 M947 2000</v>
      </c>
    </row>
    <row r="909" spans="2:9" x14ac:dyDescent="0.25">
      <c r="B909" s="1" t="str">
        <f>("W00002694")</f>
        <v>W00002694</v>
      </c>
      <c r="C909" s="1" t="str">
        <f>("COM and CORBA side by side : architectures, strategies, and implementations / ")</f>
        <v xml:space="preserve">COM and CORBA side by side : architectures, strategies, and implementations / </v>
      </c>
      <c r="D909" s="1" t="str">
        <f t="shared" si="32"/>
        <v>4F西文書庫 4F Western Language Books</v>
      </c>
      <c r="E909" s="1" t="str">
        <f>("QA76.9.A73 P961 1999")</f>
        <v>QA76.9.A73 P961 1999</v>
      </c>
      <c r="G909" s="1" t="str">
        <f>("xix, 430 p. : ")</f>
        <v xml:space="preserve">xix, 430 p. : </v>
      </c>
      <c r="H909" s="1" t="str">
        <f>("ill. ; ")</f>
        <v xml:space="preserve">ill. ; </v>
      </c>
      <c r="I909" s="1" t="str">
        <f>("23 cm. ")</f>
        <v xml:space="preserve">23 cm. </v>
      </c>
    </row>
    <row r="910" spans="2:9" x14ac:dyDescent="0.25">
      <c r="B910" s="1" t="str">
        <f>("W00002952")</f>
        <v>W00002952</v>
      </c>
      <c r="C910" s="1" t="str">
        <f>("Inside server-based applications / ")</f>
        <v xml:space="preserve">Inside server-based applications / </v>
      </c>
      <c r="D910" s="1" t="str">
        <f t="shared" si="32"/>
        <v>4F西文書庫 4F Western Language Books</v>
      </c>
      <c r="E910" s="1" t="str">
        <f>("QA76.9.C55 R362 2000")</f>
        <v>QA76.9.C55 R362 2000</v>
      </c>
    </row>
    <row r="911" spans="2:9" x14ac:dyDescent="0.25">
      <c r="B911" s="1" t="str">
        <f>("W00002785")</f>
        <v>W00002785</v>
      </c>
      <c r="C911" s="1" t="str">
        <f>("Setting up a Linux intranet server : visual black book / ")</f>
        <v xml:space="preserve">Setting up a Linux intranet server : visual black book / </v>
      </c>
      <c r="D911" s="1" t="str">
        <f t="shared" ref="D911:D942" si="33">("4F西文書庫 4F Western Language Books")</f>
        <v>4F西文書庫 4F Western Language Books</v>
      </c>
      <c r="E911" s="1" t="str">
        <f>("QA76.9.C55 T877 1999")</f>
        <v>QA76.9.C55 T877 1999</v>
      </c>
    </row>
    <row r="912" spans="2:9" x14ac:dyDescent="0.25">
      <c r="B912" s="1" t="str">
        <f>("W00002752")</f>
        <v>W00002752</v>
      </c>
      <c r="C912" s="1" t="str">
        <f>("COM programming by example using MFC, ActiveX, ATL, ADO, and COM+")</f>
        <v>COM programming by example using MFC, ActiveX, ATL, ADO, and COM+</v>
      </c>
      <c r="D912" s="1" t="str">
        <f t="shared" si="33"/>
        <v>4F西文書庫 4F Western Language Books</v>
      </c>
      <c r="E912" s="1" t="str">
        <f>("QA76.9.C66 S972 2000")</f>
        <v>QA76.9.C66 S972 2000</v>
      </c>
    </row>
    <row r="913" spans="2:10" x14ac:dyDescent="0.25">
      <c r="B913" s="1" t="str">
        <f>("W00002799")</f>
        <v>W00002799</v>
      </c>
      <c r="C913" s="1" t="str">
        <f>("Object-relational database development :a plumber's guide /")</f>
        <v>Object-relational database development :a plumber's guide /</v>
      </c>
      <c r="D913" s="1" t="str">
        <f t="shared" si="33"/>
        <v>4F西文書庫 4F Western Language Books</v>
      </c>
      <c r="E913" s="1" t="str">
        <f>("QA76.9.D26 B882 2001")</f>
        <v>QA76.9.D26 B882 2001</v>
      </c>
    </row>
    <row r="914" spans="2:10" x14ac:dyDescent="0.25">
      <c r="B914" s="1" t="str">
        <f>("W00002622")</f>
        <v>W00002622</v>
      </c>
      <c r="C914" s="1" t="str">
        <f>("Data modeling with ERwin /")</f>
        <v>Data modeling with ERwin /</v>
      </c>
      <c r="D914" s="1" t="str">
        <f t="shared" si="33"/>
        <v>4F西文書庫 4F Western Language Books</v>
      </c>
      <c r="E914" s="1" t="str">
        <f>("QA76.9.D26 D317 2000")</f>
        <v>QA76.9.D26 D317 2000</v>
      </c>
    </row>
    <row r="915" spans="2:10" x14ac:dyDescent="0.25">
      <c r="B915" s="1" t="str">
        <f>("W00002731")</f>
        <v>W00002731</v>
      </c>
      <c r="C915" s="1" t="str">
        <f>("Database programming with JDBC and Java / ")</f>
        <v xml:space="preserve">Database programming with JDBC and Java / </v>
      </c>
      <c r="D915" s="1" t="str">
        <f t="shared" si="33"/>
        <v>4F西文書庫 4F Western Language Books</v>
      </c>
      <c r="E915" s="1" t="str">
        <f>("QA76.9.D26 R329 2000")</f>
        <v>QA76.9.D26 R329 2000</v>
      </c>
      <c r="G915" s="1" t="str">
        <f>("xvii, 328 p. : ")</f>
        <v xml:space="preserve">xvii, 328 p. : </v>
      </c>
      <c r="H915" s="1" t="str">
        <f>("ill. ; ")</f>
        <v xml:space="preserve">ill. ; </v>
      </c>
      <c r="I915" s="1" t="str">
        <f>("24 cm. ")</f>
        <v xml:space="preserve">24 cm. </v>
      </c>
    </row>
    <row r="916" spans="2:10" x14ac:dyDescent="0.25">
      <c r="B916" s="1" t="str">
        <f>("W00002669")</f>
        <v>W00002669</v>
      </c>
      <c r="C916" s="1" t="str">
        <f>("Data on the web : from relations to semistructured data and XML / ")</f>
        <v xml:space="preserve">Data on the web : from relations to semistructured data and XML / </v>
      </c>
      <c r="D916" s="1" t="str">
        <f t="shared" si="33"/>
        <v>4F西文書庫 4F Western Language Books</v>
      </c>
      <c r="E916" s="1" t="str">
        <f>("QA76.9.D3 A148 1999")</f>
        <v>QA76.9.D3 A148 1999</v>
      </c>
    </row>
    <row r="917" spans="2:10" x14ac:dyDescent="0.25">
      <c r="B917" s="1" t="str">
        <f>("W00002646")</f>
        <v>W00002646</v>
      </c>
      <c r="C917" s="1" t="str">
        <f>("Data resource quality : turning bad habits into good practices / ")</f>
        <v xml:space="preserve">Data resource quality : turning bad habits into good practices / </v>
      </c>
      <c r="D917" s="1" t="str">
        <f t="shared" si="33"/>
        <v>4F西文書庫 4F Western Language Books</v>
      </c>
      <c r="E917" s="1" t="str">
        <f>("QA76.9.D3 B797 2000")</f>
        <v>QA76.9.D3 B797 2000</v>
      </c>
    </row>
    <row r="918" spans="2:10" x14ac:dyDescent="0.25">
      <c r="B918" s="1" t="str">
        <f>("W00003253")</f>
        <v>W00003253</v>
      </c>
      <c r="C918" s="1" t="str">
        <f>("Oracle database administration on UNIX systems /")</f>
        <v>Oracle database administration on UNIX systems /</v>
      </c>
      <c r="D918" s="1" t="str">
        <f t="shared" si="33"/>
        <v>4F西文書庫 4F Western Language Books</v>
      </c>
      <c r="E918" s="1" t="str">
        <f>("QA76.9.D3 B878 1997")</f>
        <v>QA76.9.D3 B878 1997</v>
      </c>
      <c r="G918" s="1" t="str">
        <f>("xxi, 189 p. :")</f>
        <v>xxi, 189 p. :</v>
      </c>
      <c r="H918" s="1" t="str">
        <f>("ill. ;")</f>
        <v>ill. ;</v>
      </c>
      <c r="I918" s="1" t="str">
        <f>("24 cm. +")</f>
        <v>24 cm. +</v>
      </c>
      <c r="J918" s="1" t="str">
        <f>("1 computer optical laser disc (4 3/4 in.)")</f>
        <v>1 computer optical laser disc (4 3/4 in.)</v>
      </c>
    </row>
    <row r="919" spans="2:10" x14ac:dyDescent="0.25">
      <c r="B919" s="1" t="str">
        <f>("W00002926")</f>
        <v>W00002926</v>
      </c>
      <c r="C919" s="1" t="str">
        <f>("Oracle 24x7 tips &amp; techniques / ")</f>
        <v xml:space="preserve">Oracle 24x7 tips &amp; techniques / </v>
      </c>
      <c r="D919" s="1" t="str">
        <f t="shared" si="33"/>
        <v>4F西文書庫 4F Western Language Books</v>
      </c>
      <c r="E919" s="1" t="str">
        <f>("QA76.9.D3 D514 2000")</f>
        <v>QA76.9.D3 D514 2000</v>
      </c>
    </row>
    <row r="920" spans="2:10" x14ac:dyDescent="0.25">
      <c r="B920" s="1" t="str">
        <f>("W00002640")</f>
        <v>W00002640</v>
      </c>
      <c r="C920" s="1" t="str">
        <f>("Component database systems / ")</f>
        <v xml:space="preserve">Component database systems / </v>
      </c>
      <c r="D920" s="1" t="str">
        <f t="shared" si="33"/>
        <v>4F西文書庫 4F Western Language Books</v>
      </c>
      <c r="E920" s="1" t="str">
        <f>("QA76.9.D3 D617 2001")</f>
        <v>QA76.9.D3 D617 2001</v>
      </c>
      <c r="G920" s="1" t="str">
        <f>("xvii, 294 p. : ")</f>
        <v xml:space="preserve">xvii, 294 p. : </v>
      </c>
      <c r="H920" s="1" t="str">
        <f>("ill. ; ")</f>
        <v xml:space="preserve">ill. ; </v>
      </c>
      <c r="I920" s="1" t="str">
        <f>("25 cm. ")</f>
        <v xml:space="preserve">25 cm. </v>
      </c>
    </row>
    <row r="921" spans="2:10" x14ac:dyDescent="0.25">
      <c r="B921" s="1" t="str">
        <f>("W00002719")</f>
        <v>W00002719</v>
      </c>
      <c r="C921" s="1" t="str">
        <f>("DAO object model : the definitive reference / ")</f>
        <v xml:space="preserve">DAO object model : the definitive reference / </v>
      </c>
      <c r="D921" s="1" t="str">
        <f t="shared" si="33"/>
        <v>4F西文書庫 4F Western Language Books</v>
      </c>
      <c r="E921" s="1" t="str">
        <f>("QA76.9.D3 F292 2000")</f>
        <v>QA76.9.D3 F292 2000</v>
      </c>
    </row>
    <row r="922" spans="2:10" x14ac:dyDescent="0.25">
      <c r="B922" s="1" t="str">
        <f>("W00002702")</f>
        <v>W00002702</v>
      </c>
      <c r="C922" s="1" t="str">
        <f>("Oracle PL/SQL language : pocket reference / ")</f>
        <v xml:space="preserve">Oracle PL/SQL language : pocket reference / </v>
      </c>
      <c r="D922" s="1" t="str">
        <f t="shared" si="33"/>
        <v>4F西文書庫 4F Western Language Books</v>
      </c>
      <c r="E922" s="1" t="str">
        <f>("QA76.9.D3 F423 1999")</f>
        <v>QA76.9.D3 F423 1999</v>
      </c>
    </row>
    <row r="923" spans="2:10" x14ac:dyDescent="0.25">
      <c r="B923" s="1" t="str">
        <f>("W00002895")</f>
        <v>W00002895</v>
      </c>
      <c r="C923" s="1" t="str">
        <f>("Oracle PL/SQL developer's workbook / ")</f>
        <v xml:space="preserve">Oracle PL/SQL developer's workbook / </v>
      </c>
      <c r="D923" s="1" t="str">
        <f t="shared" si="33"/>
        <v>4F西文書庫 4F Western Language Books</v>
      </c>
      <c r="E923" s="1" t="str">
        <f>("QA76.9.D3 F423-2 2000")</f>
        <v>QA76.9.D3 F423-2 2000</v>
      </c>
    </row>
    <row r="924" spans="2:10" x14ac:dyDescent="0.25">
      <c r="B924" s="1" t="str">
        <f>("W00003241")</f>
        <v>W00003241</v>
      </c>
      <c r="C924" s="1" t="str">
        <f>("Sybase DBA survival guide /")</f>
        <v>Sybase DBA survival guide /</v>
      </c>
      <c r="D924" s="1" t="str">
        <f t="shared" si="33"/>
        <v>4F西文書庫 4F Western Language Books</v>
      </c>
      <c r="E924" s="1" t="str">
        <f>("QA76.9.D3 G214 1995")</f>
        <v>QA76.9.D3 G214 1995</v>
      </c>
      <c r="F924" s="1" t="str">
        <f>("一片磁片")</f>
        <v>一片磁片</v>
      </c>
    </row>
    <row r="925" spans="2:10" x14ac:dyDescent="0.25">
      <c r="B925" s="1" t="str">
        <f>("W00002701")</f>
        <v>W00002701</v>
      </c>
      <c r="C925" s="1" t="str">
        <f>("Oracle SQL*Plus : pocket reference / ")</f>
        <v xml:space="preserve">Oracle SQL*Plus : pocket reference / </v>
      </c>
      <c r="D925" s="1" t="str">
        <f t="shared" si="33"/>
        <v>4F西文書庫 4F Western Language Books</v>
      </c>
      <c r="E925" s="1" t="str">
        <f>("QA76.9.D3 G333 2000")</f>
        <v>QA76.9.D3 G333 2000</v>
      </c>
    </row>
    <row r="926" spans="2:10" x14ac:dyDescent="0.25">
      <c r="B926" s="1" t="str">
        <f>("W00002840")</f>
        <v>W00002840</v>
      </c>
      <c r="C926" s="1" t="str">
        <f>("Oracle essentials :oracle8 and oracle8i/")</f>
        <v>Oracle essentials :oracle8 and oracle8i/</v>
      </c>
      <c r="D926" s="1" t="str">
        <f t="shared" si="33"/>
        <v>4F西文書庫 4F Western Language Books</v>
      </c>
      <c r="E926" s="1" t="str">
        <f>("QA76.9.D3 G816 1999")</f>
        <v>QA76.9.D3 G816 1999</v>
      </c>
    </row>
    <row r="927" spans="2:10" x14ac:dyDescent="0.25">
      <c r="B927" s="1" t="str">
        <f>("W00002847")</f>
        <v>W00002847</v>
      </c>
      <c r="C927" s="1" t="str">
        <f>("Oracle performance tuning / ")</f>
        <v xml:space="preserve">Oracle performance tuning / </v>
      </c>
      <c r="D927" s="1" t="str">
        <f t="shared" si="33"/>
        <v>4F西文書庫 4F Western Language Books</v>
      </c>
      <c r="E927" s="1" t="str">
        <f>("QA76.9.D3 G978 1996")</f>
        <v>QA76.9.D3 G978 1996</v>
      </c>
    </row>
    <row r="928" spans="2:10" x14ac:dyDescent="0.25">
      <c r="B928" s="1" t="str">
        <f>("W00002832")</f>
        <v>W00002832</v>
      </c>
      <c r="C928" s="1" t="str">
        <f>("Oracle performance tuning / ")</f>
        <v xml:space="preserve">Oracle performance tuning / </v>
      </c>
      <c r="D928" s="1" t="str">
        <f t="shared" si="33"/>
        <v>4F西文書庫 4F Western Language Books</v>
      </c>
      <c r="E928" s="1" t="str">
        <f>("QA76.9.D3 G978 1996 c.2")</f>
        <v>QA76.9.D3 G978 1996 c.2</v>
      </c>
    </row>
    <row r="929" spans="2:9" x14ac:dyDescent="0.25">
      <c r="B929" s="1" t="str">
        <f>("W00003233")</f>
        <v>W00003233</v>
      </c>
      <c r="C929" s="1" t="str">
        <f>("Database processing :fundamentals, design, and implementation /")</f>
        <v>Database processing :fundamentals, design, and implementation /</v>
      </c>
      <c r="D929" s="1" t="str">
        <f t="shared" si="33"/>
        <v>4F西文書庫 4F Western Language Books</v>
      </c>
      <c r="E929" s="1" t="str">
        <f>("QA76.9.D3 K93 1998")</f>
        <v>QA76.9.D3 K93 1998</v>
      </c>
    </row>
    <row r="930" spans="2:9" x14ac:dyDescent="0.25">
      <c r="B930" s="1" t="str">
        <f>("W00002844")</f>
        <v>W00002844</v>
      </c>
      <c r="C930" s="1" t="str">
        <f>("Understanding database management systems /")</f>
        <v>Understanding database management systems /</v>
      </c>
      <c r="D930" s="1" t="str">
        <f t="shared" si="33"/>
        <v>4F西文書庫 4F Western Language Books</v>
      </c>
      <c r="E930" s="1" t="str">
        <f>("QA76.9.D3 M4444 1998")</f>
        <v>QA76.9.D3 M4444 1998</v>
      </c>
    </row>
    <row r="931" spans="2:9" x14ac:dyDescent="0.25">
      <c r="B931" s="1" t="str">
        <f>("W00003255")</f>
        <v>W00003255</v>
      </c>
      <c r="C931" s="1" t="str">
        <f>("The guide to SQL Server /")</f>
        <v>The guide to SQL Server /</v>
      </c>
      <c r="D931" s="1" t="str">
        <f t="shared" si="33"/>
        <v>4F西文書庫 4F Western Language Books</v>
      </c>
      <c r="E931" s="1" t="str">
        <f>("QA76.9.D3 N274 1995")</f>
        <v>QA76.9.D3 N274 1995</v>
      </c>
      <c r="G931" s="1" t="str">
        <f>("xxi, 585 p. :")</f>
        <v>xxi, 585 p. :</v>
      </c>
      <c r="H931" s="1" t="str">
        <f>("ill. ;")</f>
        <v>ill. ;</v>
      </c>
      <c r="I931" s="1" t="str">
        <f>("24 cm.")</f>
        <v>24 cm.</v>
      </c>
    </row>
    <row r="932" spans="2:9" x14ac:dyDescent="0.25">
      <c r="B932" s="1" t="str">
        <f>("W00002930")</f>
        <v>W00002930</v>
      </c>
      <c r="C932" s="1" t="str">
        <f>("Practical issues in database management : a reference for the thinking practitioner / ")</f>
        <v xml:space="preserve">Practical issues in database management : a reference for the thinking practitioner / </v>
      </c>
      <c r="D932" s="1" t="str">
        <f t="shared" si="33"/>
        <v>4F西文書庫 4F Western Language Books</v>
      </c>
      <c r="E932" s="1" t="str">
        <f>("QA76.9.D3 P278 2000")</f>
        <v>QA76.9.D3 P278 2000</v>
      </c>
    </row>
    <row r="933" spans="2:9" x14ac:dyDescent="0.25">
      <c r="B933" s="1" t="str">
        <f>("W00003265")</f>
        <v>W00003265</v>
      </c>
      <c r="C933" s="1" t="str">
        <f>("Distributed relational database :cross-platform connectivity and applications /")</f>
        <v>Distributed relational database :cross-platform connectivity and applications /</v>
      </c>
      <c r="D933" s="1" t="str">
        <f t="shared" si="33"/>
        <v>4F西文書庫 4F Western Language Books</v>
      </c>
      <c r="E933" s="1" t="str">
        <f>("QA76.9.D3 P742 1996")</f>
        <v>QA76.9.D3 P742 1996</v>
      </c>
    </row>
    <row r="934" spans="2:9" x14ac:dyDescent="0.25">
      <c r="B934" s="1" t="str">
        <f>("W00002873")</f>
        <v>W00002873</v>
      </c>
      <c r="C934" s="1" t="str">
        <f>("Access database design &amp; programming / ")</f>
        <v xml:space="preserve">Access database design &amp; programming / </v>
      </c>
      <c r="D934" s="1" t="str">
        <f t="shared" si="33"/>
        <v>4F西文書庫 4F Western Language Books</v>
      </c>
      <c r="E934" s="1" t="str">
        <f>("QA76.9.D3 R758 1999")</f>
        <v>QA76.9.D3 R758 1999</v>
      </c>
    </row>
    <row r="935" spans="2:9" x14ac:dyDescent="0.25">
      <c r="B935" s="1" t="str">
        <f>("W00002634")</f>
        <v>W00002634</v>
      </c>
      <c r="C935" s="1" t="str">
        <f>("DB2 universal database for OS/390 : an introduction to DB2 for OS/390 version 7 / ")</f>
        <v xml:space="preserve">DB2 universal database for OS/390 : an introduction to DB2 for OS/390 version 7 / </v>
      </c>
      <c r="D935" s="1" t="str">
        <f t="shared" si="33"/>
        <v>4F西文書庫 4F Western Language Books</v>
      </c>
      <c r="E935" s="1" t="str">
        <f>("QA76.9.D3 S634 2001")</f>
        <v>QA76.9.D3 S634 2001</v>
      </c>
    </row>
    <row r="936" spans="2:9" x14ac:dyDescent="0.25">
      <c r="B936" s="1" t="str">
        <f>("W00002635")</f>
        <v>W00002635</v>
      </c>
      <c r="C936" s="1" t="str">
        <f>("Database design /")</f>
        <v>Database design /</v>
      </c>
      <c r="D936" s="1" t="str">
        <f t="shared" si="33"/>
        <v>4F西文書庫 4F Western Language Books</v>
      </c>
      <c r="E936" s="1" t="str">
        <f>("QA76.9.D3 S832 2001")</f>
        <v>QA76.9.D3 S832 2001</v>
      </c>
    </row>
    <row r="937" spans="2:9" x14ac:dyDescent="0.25">
      <c r="B937" s="1" t="str">
        <f>("W00002624")</f>
        <v>W00002624</v>
      </c>
      <c r="C937" s="1" t="str">
        <f>("Designing a data warehouse :supporting customer relationship management /")</f>
        <v>Designing a data warehouse :supporting customer relationship management /</v>
      </c>
      <c r="D937" s="1" t="str">
        <f t="shared" si="33"/>
        <v>4F西文書庫 4F Western Language Books</v>
      </c>
      <c r="E937" s="1" t="str">
        <f>("QA76.9.D3 T639 2001 c.2")</f>
        <v>QA76.9.D3 T639 2001 c.2</v>
      </c>
    </row>
    <row r="938" spans="2:9" x14ac:dyDescent="0.25">
      <c r="B938" s="1" t="str">
        <f>("W00002705")</f>
        <v>W00002705</v>
      </c>
      <c r="C938" s="1" t="str">
        <f>("Building data mining applications for CRM / ")</f>
        <v xml:space="preserve">Building data mining applications for CRM / </v>
      </c>
      <c r="D938" s="1" t="str">
        <f t="shared" si="33"/>
        <v>4F西文書庫 4F Western Language Books</v>
      </c>
      <c r="E938" s="1" t="str">
        <f>("QA76.9.D343 B535 1999")</f>
        <v>QA76.9.D343 B535 1999</v>
      </c>
    </row>
    <row r="939" spans="2:9" x14ac:dyDescent="0.25">
      <c r="B939" s="1" t="str">
        <f>("W00002995")</f>
        <v>W00002995</v>
      </c>
      <c r="C939" s="1" t="str">
        <f>("Data mining :  concepts and techniques / ")</f>
        <v xml:space="preserve">Data mining :  concepts and techniques / </v>
      </c>
      <c r="D939" s="1" t="str">
        <f t="shared" si="33"/>
        <v>4F西文書庫 4F Western Language Books</v>
      </c>
      <c r="E939" s="1" t="str">
        <f>("QA76.9.D343 H233 2001")</f>
        <v>QA76.9.D343 H233 2001</v>
      </c>
    </row>
    <row r="940" spans="2:9" x14ac:dyDescent="0.25">
      <c r="B940" s="1" t="str">
        <f>("W00002638")</f>
        <v>W00002638</v>
      </c>
      <c r="C940" s="1" t="str">
        <f>("Data warehouse project management /")</f>
        <v>Data warehouse project management /</v>
      </c>
      <c r="D940" s="1" t="str">
        <f t="shared" si="33"/>
        <v>4F西文書庫 4F Western Language Books</v>
      </c>
      <c r="E940" s="1" t="str">
        <f>("QA76.9.D37 A229 2000")</f>
        <v>QA76.9.D37 A229 2000</v>
      </c>
    </row>
    <row r="941" spans="2:9" x14ac:dyDescent="0.25">
      <c r="B941" s="1" t="str">
        <f>("W00002662")</f>
        <v>W00002662</v>
      </c>
      <c r="C941" s="1" t="str">
        <f>("The official guide to Informix/Red Brick data warehousing / ")</f>
        <v xml:space="preserve">The official guide to Informix/Red Brick data warehousing / </v>
      </c>
      <c r="D941" s="1" t="str">
        <f t="shared" si="33"/>
        <v>4F西文書庫 4F Western Language Books</v>
      </c>
      <c r="E941" s="1" t="str">
        <f>("QA76.9.D37 H685 2001")</f>
        <v>QA76.9.D37 H685 2001</v>
      </c>
    </row>
    <row r="942" spans="2:9" x14ac:dyDescent="0.25">
      <c r="B942" s="1" t="str">
        <f>("W00002596")</f>
        <v>W00002596</v>
      </c>
      <c r="C942" s="1" t="str">
        <f>("Debugging Visual Basic : troubleshooting for programmers / ")</f>
        <v xml:space="preserve">Debugging Visual Basic : troubleshooting for programmers / </v>
      </c>
      <c r="D942" s="1" t="str">
        <f t="shared" si="33"/>
        <v>4F西文書庫 4F Western Language Books</v>
      </c>
      <c r="E942" s="1" t="str">
        <f>("QA76.9.D43 J95 2000")</f>
        <v>QA76.9.D43 J95 2000</v>
      </c>
    </row>
    <row r="943" spans="2:9" x14ac:dyDescent="0.25">
      <c r="B943" s="1" t="str">
        <f>("W00002707")</f>
        <v>W00002707</v>
      </c>
      <c r="C943" s="1" t="str">
        <f>("Debugging Windows programs : strategies, tools, and techniques for Visual C++ programmers / ")</f>
        <v xml:space="preserve">Debugging Windows programs : strategies, tools, and techniques for Visual C++ programmers / </v>
      </c>
      <c r="D943" s="1" t="str">
        <f t="shared" ref="D943:D964" si="34">("4F西文書庫 4F Western Language Books")</f>
        <v>4F西文書庫 4F Western Language Books</v>
      </c>
      <c r="E943" s="1" t="str">
        <f>("QA76.9.D43 M111 2000")</f>
        <v>QA76.9.D43 M111 2000</v>
      </c>
    </row>
    <row r="944" spans="2:9" x14ac:dyDescent="0.25">
      <c r="B944" s="1" t="str">
        <f>("W00002723")</f>
        <v>W00002723</v>
      </c>
      <c r="C944" s="1" t="str">
        <f>("Core jini ")</f>
        <v xml:space="preserve">Core jini </v>
      </c>
      <c r="D944" s="1" t="str">
        <f t="shared" si="34"/>
        <v>4F西文書庫 4F Western Language Books</v>
      </c>
      <c r="E944" s="1" t="str">
        <f>("QA76.9.D5 E26 2001")</f>
        <v>QA76.9.D5 E26 2001</v>
      </c>
    </row>
    <row r="945" spans="2:9" x14ac:dyDescent="0.25">
      <c r="B945" s="1" t="str">
        <f>("W00002712")</f>
        <v>W00002712</v>
      </c>
      <c r="C945" s="1" t="str">
        <f>("Java distributed computing / ")</f>
        <v xml:space="preserve">Java distributed computing / </v>
      </c>
      <c r="D945" s="1" t="str">
        <f t="shared" si="34"/>
        <v>4F西文書庫 4F Western Language Books</v>
      </c>
      <c r="E945" s="1" t="str">
        <f>("QA76.9.D5 F232 1998")</f>
        <v>QA76.9.D5 F232 1998</v>
      </c>
    </row>
    <row r="946" spans="2:9" x14ac:dyDescent="0.25">
      <c r="B946" s="1" t="str">
        <f>("W00002859")</f>
        <v>W00002859</v>
      </c>
      <c r="C946" s="1" t="str">
        <f>("Managing distributed applications : troubleshooting in a heterogeneous environment / ")</f>
        <v xml:space="preserve">Managing distributed applications : troubleshooting in a heterogeneous environment / </v>
      </c>
      <c r="D946" s="1" t="str">
        <f t="shared" si="34"/>
        <v>4F西文書庫 4F Western Language Books</v>
      </c>
      <c r="E946" s="1" t="str">
        <f>("QA76.9.D5 H631 2001")</f>
        <v>QA76.9.D5 H631 2001</v>
      </c>
    </row>
    <row r="947" spans="2:9" x14ac:dyDescent="0.25">
      <c r="B947" s="1" t="str">
        <f>("W00002608")</f>
        <v>W00002608</v>
      </c>
      <c r="C947" s="1" t="str">
        <f>("Sams teach yourself Microsoft Windows DNA programming in 21 days / ")</f>
        <v xml:space="preserve">Sams teach yourself Microsoft Windows DNA programming in 21 days / </v>
      </c>
      <c r="D947" s="1" t="str">
        <f t="shared" si="34"/>
        <v>4F西文書庫 4F Western Language Books</v>
      </c>
      <c r="E947" s="1" t="str">
        <f>("QA76.9.D5 M619 2000")</f>
        <v>QA76.9.D5 M619 2000</v>
      </c>
    </row>
    <row r="948" spans="2:9" x14ac:dyDescent="0.25">
      <c r="B948" s="1" t="str">
        <f>("W00002948")</f>
        <v>W00002948</v>
      </c>
      <c r="C948" s="1" t="str">
        <f>("Designing for scalability with Microsoft Windows DNA / ")</f>
        <v xml:space="preserve">Designing for scalability with Microsoft Windows DNA / </v>
      </c>
      <c r="D948" s="1" t="str">
        <f t="shared" si="34"/>
        <v>4F西文書庫 4F Western Language Books</v>
      </c>
      <c r="E948" s="1" t="str">
        <f>("QA76.9.D5 S958 2000")</f>
        <v>QA76.9.D5 S958 2000</v>
      </c>
    </row>
    <row r="949" spans="2:9" x14ac:dyDescent="0.25">
      <c r="B949" s="1" t="str">
        <f>("W00002654")</f>
        <v>W00002654</v>
      </c>
      <c r="C949" s="1" t="str">
        <f>("The Jini specifications / ")</f>
        <v xml:space="preserve">The Jini specifications / </v>
      </c>
      <c r="D949" s="1" t="str">
        <f t="shared" si="34"/>
        <v>4F西文書庫 4F Western Language Books</v>
      </c>
      <c r="E949" s="1" t="str">
        <f>("QA76.9.D5 W165 2001")</f>
        <v>QA76.9.D5 W165 2001</v>
      </c>
      <c r="G949" s="1" t="str">
        <f>("xxvii, 645 p. : ")</f>
        <v xml:space="preserve">xxvii, 645 p. : </v>
      </c>
      <c r="H949" s="1" t="str">
        <f>(" ill. ; ")</f>
        <v xml:space="preserve"> ill. ; </v>
      </c>
      <c r="I949" s="1" t="str">
        <f>(" 24 cm. ")</f>
        <v xml:space="preserve"> 24 cm. </v>
      </c>
    </row>
    <row r="950" spans="2:9" x14ac:dyDescent="0.25">
      <c r="B950" s="1" t="str">
        <f>("W00002885")</f>
        <v>W00002885</v>
      </c>
      <c r="C950" s="1" t="str">
        <f>("Developing Windows error messages / ")</f>
        <v xml:space="preserve">Developing Windows error messages / </v>
      </c>
      <c r="D950" s="1" t="str">
        <f t="shared" si="34"/>
        <v>4F西文書庫 4F Western Language Books</v>
      </c>
      <c r="E950" s="1" t="str">
        <f>("QA76.9.E77 E99 1998")</f>
        <v>QA76.9.E77 E99 1998</v>
      </c>
    </row>
    <row r="951" spans="2:9" x14ac:dyDescent="0.25">
      <c r="B951" s="1" t="str">
        <f>("W00002773")</f>
        <v>W00002773</v>
      </c>
      <c r="C951" s="1" t="str">
        <f>("SanFrancisco design patterns : blueprints for business software / ")</f>
        <v xml:space="preserve">SanFrancisco design patterns : blueprints for business software / </v>
      </c>
      <c r="D951" s="1" t="str">
        <f t="shared" si="34"/>
        <v>4F西文書庫 4F Western Language Books</v>
      </c>
      <c r="E951" s="1" t="str">
        <f>("QA76.9.O35 C273 2000")</f>
        <v>QA76.9.O35 C273 2000</v>
      </c>
    </row>
    <row r="952" spans="2:9" x14ac:dyDescent="0.25">
      <c r="B952" s="1" t="str">
        <f>("W00002904")</f>
        <v>W00002904</v>
      </c>
      <c r="C952" s="1" t="str">
        <f>("Objects, components, and frameworks with UML : the catalysis approach / ")</f>
        <v xml:space="preserve">Objects, components, and frameworks with UML : the catalysis approach / </v>
      </c>
      <c r="D952" s="1" t="str">
        <f t="shared" si="34"/>
        <v>4F西文書庫 4F Western Language Books</v>
      </c>
      <c r="E952" s="1" t="str">
        <f>("QA76.9.O35 D811 1999")</f>
        <v>QA76.9.O35 D811 1999</v>
      </c>
    </row>
    <row r="953" spans="2:9" x14ac:dyDescent="0.25">
      <c r="B953" s="1" t="str">
        <f>("W00002642")</f>
        <v>W00002642</v>
      </c>
      <c r="C953" s="1" t="str">
        <f>("The art of objects : object-oriented design and architecture / ")</f>
        <v xml:space="preserve">The art of objects : object-oriented design and architecture / </v>
      </c>
      <c r="D953" s="1" t="str">
        <f t="shared" si="34"/>
        <v>4F西文書庫 4F Western Language Books</v>
      </c>
      <c r="E953" s="1" t="str">
        <f>("QA76.9.O35 L366 2001")</f>
        <v>QA76.9.O35 L366 2001</v>
      </c>
      <c r="G953" s="1" t="str">
        <f>("xv, 363 p. : ")</f>
        <v xml:space="preserve">xv, 363 p. : </v>
      </c>
      <c r="H953" s="1" t="str">
        <f>("ill. ; ")</f>
        <v xml:space="preserve">ill. ; </v>
      </c>
      <c r="I953" s="1" t="str">
        <f>("24 cm. ")</f>
        <v xml:space="preserve">24 cm. </v>
      </c>
    </row>
    <row r="954" spans="2:9" x14ac:dyDescent="0.25">
      <c r="B954" s="1" t="str">
        <f>("W00003254")</f>
        <v>W00003254</v>
      </c>
      <c r="C954" s="1" t="str">
        <f>("Structured computer project management /")</f>
        <v>Structured computer project management /</v>
      </c>
      <c r="D954" s="1" t="str">
        <f t="shared" si="34"/>
        <v>4F西文書庫 4F Western Language Books</v>
      </c>
      <c r="E954" s="1" t="str">
        <f>("QA76.9.S84 R719 1988")</f>
        <v>QA76.9.S84 R719 1988</v>
      </c>
    </row>
    <row r="955" spans="2:9" x14ac:dyDescent="0.25">
      <c r="B955" s="1" t="str">
        <f>("W00002652")</f>
        <v>W00002652</v>
      </c>
      <c r="C955" s="1" t="str">
        <f>("Use cases : requirements in context / ")</f>
        <v xml:space="preserve">Use cases : requirements in context / </v>
      </c>
      <c r="D955" s="1" t="str">
        <f t="shared" si="34"/>
        <v>4F西文書庫 4F Western Language Books</v>
      </c>
      <c r="E955" s="1" t="str">
        <f>("QA76.9.S88 K96 2000 c.2")</f>
        <v>QA76.9.S88 K96 2000 c.2</v>
      </c>
    </row>
    <row r="956" spans="2:9" x14ac:dyDescent="0.25">
      <c r="B956" s="1" t="str">
        <f>("W00002921")</f>
        <v>W00002921</v>
      </c>
      <c r="C956" s="1" t="str">
        <f>("Metapattern : context and time in information models / ")</f>
        <v xml:space="preserve">Metapattern : context and time in information models / </v>
      </c>
      <c r="D956" s="1" t="str">
        <f t="shared" si="34"/>
        <v>4F西文書庫 4F Western Language Books</v>
      </c>
      <c r="E956" s="1" t="str">
        <f>("QA76.9.S88 W816 2001")</f>
        <v>QA76.9.S88 W816 2001</v>
      </c>
    </row>
    <row r="957" spans="2:9" x14ac:dyDescent="0.25">
      <c r="B957" s="1" t="str">
        <f>("W00002310")</f>
        <v>W00002310</v>
      </c>
      <c r="C957" s="1" t="str">
        <f>("Human cross-sectional anatomy :pocket atlas of body sections and CT images /")</f>
        <v>Human cross-sectional anatomy :pocket atlas of body sections and CT images /</v>
      </c>
      <c r="D957" s="1" t="str">
        <f t="shared" si="34"/>
        <v>4F西文書庫 4F Western Language Books</v>
      </c>
      <c r="E957" s="1" t="str">
        <f>("QM25 E47 1995")</f>
        <v>QM25 E47 1995</v>
      </c>
    </row>
    <row r="958" spans="2:9" x14ac:dyDescent="0.25">
      <c r="B958" s="1" t="str">
        <f>("W00002149")</f>
        <v>W00002149</v>
      </c>
      <c r="C958" s="1" t="str">
        <f>("Mosby's ACE anatomy / ")</f>
        <v xml:space="preserve">Mosby's ACE anatomy / </v>
      </c>
      <c r="D958" s="1" t="str">
        <f t="shared" si="34"/>
        <v>4F西文書庫 4F Western Language Books</v>
      </c>
      <c r="E958" s="1" t="str">
        <f>("QM32 M821 1997")</f>
        <v>QM32 M821 1997</v>
      </c>
    </row>
    <row r="959" spans="2:9" x14ac:dyDescent="0.25">
      <c r="B959" s="1" t="str">
        <f>("W00002148")</f>
        <v>W00002148</v>
      </c>
      <c r="C959" s="1" t="str">
        <f>("The human brain : in photographs and diagrams / ")</f>
        <v xml:space="preserve">The human brain : in photographs and diagrams / </v>
      </c>
      <c r="D959" s="1" t="str">
        <f t="shared" si="34"/>
        <v>4F西文書庫 4F Western Language Books</v>
      </c>
      <c r="E959" s="1" t="str">
        <f>("QM451 N798 1995")</f>
        <v>QM451 N798 1995</v>
      </c>
    </row>
    <row r="960" spans="2:9" x14ac:dyDescent="0.25">
      <c r="B960" s="1" t="str">
        <f>("W00002113")</f>
        <v>W00002113</v>
      </c>
      <c r="C960" s="1" t="str">
        <f>("Human neurophysiology :a student text /")</f>
        <v>Human neurophysiology :a student text /</v>
      </c>
      <c r="D960" s="1" t="str">
        <f t="shared" si="34"/>
        <v>4F西文書庫 4F Western Language Books</v>
      </c>
      <c r="E960" s="1" t="str">
        <f>("QP316 H749 1993")</f>
        <v>QP316 H749 1993</v>
      </c>
    </row>
    <row r="961" spans="2:5" x14ac:dyDescent="0.25">
      <c r="B961" s="1" t="str">
        <f>("W00002163")</f>
        <v>W00002163</v>
      </c>
      <c r="C961" s="1" t="str">
        <f>("Mosby's ACE--neuroscience / ")</f>
        <v xml:space="preserve">Mosby's ACE--neuroscience / </v>
      </c>
      <c r="D961" s="1" t="str">
        <f t="shared" si="34"/>
        <v>4F西文書庫 4F Western Language Books</v>
      </c>
      <c r="E961" s="1" t="str">
        <f>("QP335.2 C355 1996")</f>
        <v>QP335.2 C355 1996</v>
      </c>
    </row>
    <row r="962" spans="2:5" x14ac:dyDescent="0.25">
      <c r="B962" s="1" t="str">
        <f>("W00002179")</f>
        <v>W00002179</v>
      </c>
      <c r="C962" s="1" t="str">
        <f>("USMLE step 1 review:1200 questions &amp; answers")</f>
        <v>USMLE step 1 review:1200 questions &amp; answers</v>
      </c>
      <c r="D962" s="1" t="str">
        <f t="shared" si="34"/>
        <v>4F西文書庫 4F Western Language Books</v>
      </c>
      <c r="E962" s="1" t="str">
        <f>("QP355.2 F283 2000")</f>
        <v>QP355.2 F283 2000</v>
      </c>
    </row>
    <row r="963" spans="2:5" x14ac:dyDescent="0.25">
      <c r="B963" s="1" t="str">
        <f>("W00003268")</f>
        <v>W00003268</v>
      </c>
      <c r="C963" s="1" t="str">
        <f>("Neural network principles /")</f>
        <v>Neural network principles /</v>
      </c>
      <c r="D963" s="1" t="str">
        <f t="shared" si="34"/>
        <v>4F西文書庫 4F Western Language Books</v>
      </c>
      <c r="E963" s="1" t="str">
        <f>("QP363.3 H342 1994")</f>
        <v>QP363.3 H342 1994</v>
      </c>
    </row>
    <row r="964" spans="2:5" x14ac:dyDescent="0.25">
      <c r="B964" s="1" t="str">
        <f>("W00002146")</f>
        <v>W00002146</v>
      </c>
      <c r="C964" s="1" t="str">
        <f>("Microbiology review / ")</f>
        <v xml:space="preserve">Microbiology review / </v>
      </c>
      <c r="D964" s="1" t="str">
        <f t="shared" si="34"/>
        <v>4F西文書庫 4F Western Language Books</v>
      </c>
      <c r="E964" s="1" t="str">
        <f>("QR41.2 W178 1999")</f>
        <v>QR41.2 W178 1999</v>
      </c>
    </row>
    <row r="965" spans="2:5" x14ac:dyDescent="0.25">
      <c r="B965" s="1" t="str">
        <f>("W00002838")</f>
        <v>W00002838</v>
      </c>
      <c r="C965" s="1" t="str">
        <f>("Newton's telecom dictionary: the official dictionary of telecommunications networking and internet/ ")</f>
        <v xml:space="preserve">Newton's telecom dictionary: the official dictionary of telecommunications networking and internet/ </v>
      </c>
      <c r="D965" s="1" t="str">
        <f t="shared" ref="D965:D972" si="35">("2F西文參考書庫 2F Western Reference Resources")</f>
        <v>2F西文參考書庫 2F Western Reference Resources</v>
      </c>
      <c r="E965" s="1" t="str">
        <f>("R D304 N561 2000")</f>
        <v>R D304 N561 2000</v>
      </c>
    </row>
    <row r="966" spans="2:5" x14ac:dyDescent="0.25">
      <c r="B966" s="1" t="str">
        <f>("W00003261")</f>
        <v>W00003261</v>
      </c>
      <c r="C966" s="1" t="str">
        <f>("!%@:: a directory of electronic mail addressing &amp; networks /")</f>
        <v>!%@:: a directory of electronic mail addressing &amp; networks /</v>
      </c>
      <c r="D966" s="1" t="str">
        <f t="shared" si="35"/>
        <v>2F西文參考書庫 2F Western Reference Resources</v>
      </c>
      <c r="E966" s="1" t="str">
        <f>("R HE6239.E54 F893 1994")</f>
        <v>R HE6239.E54 F893 1994</v>
      </c>
    </row>
    <row r="967" spans="2:5" x14ac:dyDescent="0.25">
      <c r="B967" s="1" t="str">
        <f>("W00003200")</f>
        <v>W00003200</v>
      </c>
      <c r="C967" s="1" t="str">
        <f>("Weddle's recruiter's guide to employment web sites 2001 /")</f>
        <v>Weddle's recruiter's guide to employment web sites 2001 /</v>
      </c>
      <c r="D967" s="1" t="str">
        <f t="shared" si="35"/>
        <v>2F西文參考書庫 2F Western Reference Resources</v>
      </c>
      <c r="E967" s="1" t="str">
        <f>("R HF5549.5.R44 W388 2001")</f>
        <v>R HF5549.5.R44 W388 2001</v>
      </c>
    </row>
    <row r="968" spans="2:5" x14ac:dyDescent="0.25">
      <c r="B968" s="1" t="str">
        <f>("W00003097")</f>
        <v>W00003097</v>
      </c>
      <c r="C968" s="1" t="str">
        <f>("The Wall Street dictionary /")</f>
        <v>The Wall Street dictionary /</v>
      </c>
      <c r="D968" s="1" t="str">
        <f t="shared" si="35"/>
        <v>2F西文參考書庫 2F Western Reference Resources</v>
      </c>
      <c r="E968" s="1" t="str">
        <f>("R HG151 S559 1999")</f>
        <v>R HG151 S559 1999</v>
      </c>
    </row>
    <row r="969" spans="2:5" x14ac:dyDescent="0.25">
      <c r="B969" s="1" t="str">
        <f>("W00002956")</f>
        <v>W00002956</v>
      </c>
      <c r="C969" s="1" t="str">
        <f>("A dictionary of linguistics and phonetics / ")</f>
        <v xml:space="preserve">A dictionary of linguistics and phonetics / </v>
      </c>
      <c r="D969" s="1" t="str">
        <f t="shared" si="35"/>
        <v>2F西文參考書庫 2F Western Reference Resources</v>
      </c>
      <c r="E969" s="1" t="str">
        <f>("R P29 C883 1997")</f>
        <v>R P29 C883 1997</v>
      </c>
    </row>
    <row r="970" spans="2:5" x14ac:dyDescent="0.25">
      <c r="B970" s="1" t="str">
        <f>("W00003176")</f>
        <v>W00003176</v>
      </c>
      <c r="C970" s="1" t="str">
        <f>("The computer glossary :the complete illustrated dictionary /")</f>
        <v>The computer glossary :the complete illustrated dictionary /</v>
      </c>
      <c r="D970" s="1" t="str">
        <f t="shared" si="35"/>
        <v>2F西文參考書庫 2F Western Reference Resources</v>
      </c>
      <c r="E970" s="1" t="str">
        <f>("R QA76.15 F855 2001")</f>
        <v>R QA76.15 F855 2001</v>
      </c>
    </row>
    <row r="971" spans="2:5" x14ac:dyDescent="0.25">
      <c r="B971" s="1" t="str">
        <f>("W00002045")</f>
        <v>W00002045</v>
      </c>
      <c r="C971" s="1" t="str">
        <f>("The Offical MBA Handbook 2000/2001")</f>
        <v>The Offical MBA Handbook 2000/2001</v>
      </c>
      <c r="D971" s="1" t="str">
        <f t="shared" si="35"/>
        <v>2F西文參考書庫 2F Western Reference Resources</v>
      </c>
      <c r="E971" s="1" t="str">
        <f>("R S587 G617 2000")</f>
        <v>R S587 G617 2000</v>
      </c>
    </row>
    <row r="972" spans="2:5" x14ac:dyDescent="0.25">
      <c r="B972" s="1" t="str">
        <f>("W00002996")</f>
        <v>W00002996</v>
      </c>
      <c r="C972" s="1" t="str">
        <f>("Big book of World Wide Web RFCs / ")</f>
        <v xml:space="preserve">Big book of World Wide Web RFCs / </v>
      </c>
      <c r="D972" s="1" t="str">
        <f t="shared" si="35"/>
        <v>2F西文參考書庫 2F Western Reference Resources</v>
      </c>
      <c r="E972" s="1" t="str">
        <f>("R TK5105 L879 2000")</f>
        <v>R TK5105 L879 2000</v>
      </c>
    </row>
    <row r="973" spans="2:5" x14ac:dyDescent="0.25">
      <c r="B973" s="1" t="str">
        <f>("W00002221")</f>
        <v>W00002221</v>
      </c>
      <c r="C973" s="1" t="str">
        <f>("Basic medical terminology concepts / ")</f>
        <v xml:space="preserve">Basic medical terminology concepts / </v>
      </c>
      <c r="D973" s="1" t="str">
        <f t="shared" ref="D973:D1004" si="36">("4F西文書庫 4F Western Language Books")</f>
        <v>4F西文書庫 4F Western Language Books</v>
      </c>
      <c r="E973" s="1" t="str">
        <f>("R123 W747 1995")</f>
        <v>R123 W747 1995</v>
      </c>
    </row>
    <row r="974" spans="2:5" x14ac:dyDescent="0.25">
      <c r="B974" s="1" t="str">
        <f>("W00002153")</f>
        <v>W00002153</v>
      </c>
      <c r="C974" s="1" t="str">
        <f>("Understanding and caring for human diseases / ")</f>
        <v xml:space="preserve">Understanding and caring for human diseases / </v>
      </c>
      <c r="D974" s="1" t="str">
        <f t="shared" si="36"/>
        <v>4F西文書庫 4F Western Language Books</v>
      </c>
      <c r="E974" s="1" t="str">
        <f>("R690 B732 1997")</f>
        <v>R690 B732 1997</v>
      </c>
    </row>
    <row r="975" spans="2:5" x14ac:dyDescent="0.25">
      <c r="B975" s="1" t="str">
        <f>("W00002139")</f>
        <v>W00002139</v>
      </c>
      <c r="C975" s="1" t="str">
        <f>("Mosby's ACE--behavioral science / ")</f>
        <v xml:space="preserve">Mosby's ACE--behavioral science / </v>
      </c>
      <c r="D975" s="1" t="str">
        <f t="shared" si="36"/>
        <v>4F西文書庫 4F Western Language Books</v>
      </c>
      <c r="E975" s="1" t="str">
        <f>("R726.5 C669 1996")</f>
        <v>R726.5 C669 1996</v>
      </c>
    </row>
    <row r="976" spans="2:5" x14ac:dyDescent="0.25">
      <c r="B976" s="1" t="str">
        <f>("W00003209")</f>
        <v>W00003209</v>
      </c>
      <c r="C976" s="1" t="str">
        <f>("Healthcare.com :Rx for reform /")</f>
        <v>Healthcare.com :Rx for reform /</v>
      </c>
      <c r="D976" s="1" t="str">
        <f t="shared" si="36"/>
        <v>4F西文書庫 4F Western Language Books</v>
      </c>
      <c r="E976" s="1" t="str">
        <f>("RA395.A3 F911 2000")</f>
        <v>RA395.A3 F911 2000</v>
      </c>
    </row>
    <row r="977" spans="2:5" x14ac:dyDescent="0.25">
      <c r="B977" s="1" t="str">
        <f>("W00002434")</f>
        <v>W00002434</v>
      </c>
      <c r="C977" s="1" t="str">
        <f>("Reforming markets in health care :an economic perspective /")</f>
        <v>Reforming markets in health care :an economic perspective /</v>
      </c>
      <c r="D977" s="1" t="str">
        <f t="shared" si="36"/>
        <v>4F西文書庫 4F Western Language Books</v>
      </c>
      <c r="E977" s="1" t="str">
        <f>("RA410.55.G7 R281 2000")</f>
        <v>RA410.55.G7 R281 2000</v>
      </c>
    </row>
    <row r="978" spans="2:5" x14ac:dyDescent="0.25">
      <c r="B978" s="1" t="str">
        <f>("W00002140")</f>
        <v>W00002140</v>
      </c>
      <c r="C978" s="1" t="str">
        <f>("Community care for health professionals / ")</f>
        <v xml:space="preserve">Community care for health professionals / </v>
      </c>
      <c r="D978" s="1" t="str">
        <f t="shared" si="36"/>
        <v>4F西文書庫 4F Western Language Books</v>
      </c>
      <c r="E978" s="1" t="str">
        <f>("RA425 C738 2000")</f>
        <v>RA425 C738 2000</v>
      </c>
    </row>
    <row r="979" spans="2:5" x14ac:dyDescent="0.25">
      <c r="B979" s="1" t="str">
        <f>("W00002253")</f>
        <v>W00002253</v>
      </c>
      <c r="C979" s="1" t="str">
        <f>("Male bodies : health, culture, and identity / ")</f>
        <v xml:space="preserve">Male bodies : health, culture, and identity / </v>
      </c>
      <c r="D979" s="1" t="str">
        <f t="shared" si="36"/>
        <v>4F西文書庫 4F Western Language Books</v>
      </c>
      <c r="E979" s="1" t="str">
        <f>("RA564.83 W337 1999")</f>
        <v>RA564.83 W337 1999</v>
      </c>
    </row>
    <row r="980" spans="2:5" x14ac:dyDescent="0.25">
      <c r="B980" s="1" t="str">
        <f>("W00002306")</f>
        <v>W00002306</v>
      </c>
      <c r="C980" s="1" t="str">
        <f>("Community counseling :empowerment strategies for a diverse society /")</f>
        <v>Community counseling :empowerment strategies for a diverse society /</v>
      </c>
      <c r="D980" s="1" t="str">
        <f t="shared" si="36"/>
        <v>4F西文書庫 4F Western Language Books</v>
      </c>
      <c r="E980" s="1" t="str">
        <f>("RA790.5 L673 1998")</f>
        <v>RA790.5 L673 1998</v>
      </c>
    </row>
    <row r="981" spans="2:5" x14ac:dyDescent="0.25">
      <c r="B981" s="1" t="str">
        <f>("W00002154")</f>
        <v>W00002154</v>
      </c>
      <c r="C981" s="1" t="str">
        <f>("Accountable systems of behavioral health care : a provider's guide / ")</f>
        <v xml:space="preserve">Accountable systems of behavioral health care : a provider's guide / </v>
      </c>
      <c r="D981" s="1" t="str">
        <f t="shared" si="36"/>
        <v>4F西文書庫 4F Western Language Books</v>
      </c>
      <c r="E981" s="1" t="str">
        <f>("RA790.6 S267 2000")</f>
        <v>RA790.6 S267 2000</v>
      </c>
    </row>
    <row r="982" spans="2:5" x14ac:dyDescent="0.25">
      <c r="B982" s="1" t="str">
        <f>("W00002430")</f>
        <v>W00002430</v>
      </c>
      <c r="C982" s="1" t="str">
        <f>("1999 lippincott's nursing durg guide/ ")</f>
        <v xml:space="preserve">1999 lippincott's nursing durg guide/ </v>
      </c>
      <c r="D982" s="1" t="str">
        <f t="shared" si="36"/>
        <v>4F西文書庫 4F Western Language Books</v>
      </c>
      <c r="E982" s="1" t="str">
        <f>("RB38 K18 1999")</f>
        <v>RB38 K18 1999</v>
      </c>
    </row>
    <row r="983" spans="2:5" x14ac:dyDescent="0.25">
      <c r="B983" s="1" t="str">
        <f>("W00002169")</f>
        <v>W00002169</v>
      </c>
      <c r="C983" s="1" t="str">
        <f>("Lippincott's need-to-know nursing reference facts / ")</f>
        <v xml:space="preserve">Lippincott's need-to-know nursing reference facts / </v>
      </c>
      <c r="D983" s="1" t="str">
        <f t="shared" si="36"/>
        <v>4F西文書庫 4F Western Language Books</v>
      </c>
      <c r="E983" s="1" t="str">
        <f>("RB38.2 F663 1998")</f>
        <v>RB38.2 F663 1998</v>
      </c>
    </row>
    <row r="984" spans="2:5" x14ac:dyDescent="0.25">
      <c r="B984" s="1" t="str">
        <f>("W00002160")</f>
        <v>W00002160</v>
      </c>
      <c r="C984" s="1" t="str">
        <f>("Mathematics for the clinical laboratory / ")</f>
        <v xml:space="preserve">Mathematics for the clinical laboratory / </v>
      </c>
      <c r="D984" s="1" t="str">
        <f t="shared" si="36"/>
        <v>4F西文書庫 4F Western Language Books</v>
      </c>
      <c r="E984" s="1" t="str">
        <f>("RB38.3 D728 1997")</f>
        <v>RB38.3 D728 1997</v>
      </c>
    </row>
    <row r="985" spans="2:5" x14ac:dyDescent="0.25">
      <c r="B985" s="1" t="str">
        <f>("W00002142")</f>
        <v>W00002142</v>
      </c>
      <c r="C985" s="1" t="str">
        <f>("Microscopic procedures for primary care providers / ")</f>
        <v xml:space="preserve">Microscopic procedures for primary care providers / </v>
      </c>
      <c r="D985" s="1" t="str">
        <f t="shared" si="36"/>
        <v>4F西文書庫 4F Western Language Books</v>
      </c>
      <c r="E985" s="1" t="str">
        <f>("RB43 L913 1999")</f>
        <v>RB43 L913 1999</v>
      </c>
    </row>
    <row r="986" spans="2:5" x14ac:dyDescent="0.25">
      <c r="B986" s="1" t="str">
        <f>("W00002193")</f>
        <v>W00002193</v>
      </c>
      <c r="C986" s="1" t="str">
        <f>("Lippincott's cancer chemotherapy handbook /")</f>
        <v>Lippincott's cancer chemotherapy handbook /</v>
      </c>
      <c r="D986" s="1" t="str">
        <f t="shared" si="36"/>
        <v>4F西文書庫 4F Western Language Books</v>
      </c>
      <c r="E986" s="1" t="str">
        <f>("RC271.C5 B111 1998")</f>
        <v>RC271.C5 B111 1998</v>
      </c>
    </row>
    <row r="987" spans="2:5" x14ac:dyDescent="0.25">
      <c r="B987" s="1" t="str">
        <f>("W00002184")</f>
        <v>W00002184</v>
      </c>
      <c r="C987" s="1" t="str">
        <f>("Treatment planning &amp; dose calculation in radiation oncology / ")</f>
        <v xml:space="preserve">Treatment planning &amp; dose calculation in radiation oncology / </v>
      </c>
      <c r="D987" s="1" t="str">
        <f t="shared" si="36"/>
        <v>4F西文書庫 4F Western Language Books</v>
      </c>
      <c r="E987" s="1" t="str">
        <f>("RC271.R3 B475 1989")</f>
        <v>RC271.R3 B475 1989</v>
      </c>
    </row>
    <row r="988" spans="2:5" x14ac:dyDescent="0.25">
      <c r="B988" s="1" t="str">
        <f>("W00002159")</f>
        <v>W00002159</v>
      </c>
      <c r="C988" s="1" t="str">
        <f>("Traumatic subarachnoid haemorrhage / ")</f>
        <v xml:space="preserve">Traumatic subarachnoid haemorrhage / </v>
      </c>
      <c r="D988" s="1" t="str">
        <f t="shared" si="36"/>
        <v>4F西文書庫 4F Western Language Books</v>
      </c>
      <c r="E988" s="1" t="str">
        <f>("RC394.H37 K11 1997")</f>
        <v>RC394.H37 K11 1997</v>
      </c>
    </row>
    <row r="989" spans="2:5" x14ac:dyDescent="0.25">
      <c r="B989" s="1" t="str">
        <f>("W00002288")</f>
        <v>W00002288</v>
      </c>
      <c r="C989" s="1" t="str">
        <f>("Lippincott's manual of psychiatric nursing care plans /")</f>
        <v>Lippincott's manual of psychiatric nursing care plans /</v>
      </c>
      <c r="D989" s="1" t="str">
        <f t="shared" si="36"/>
        <v>4F西文書庫 4F Western Language Books</v>
      </c>
      <c r="E989" s="1" t="str">
        <f>("RC440 S389 1998")</f>
        <v>RC440 S389 1998</v>
      </c>
    </row>
    <row r="990" spans="2:5" x14ac:dyDescent="0.25">
      <c r="B990" s="1" t="str">
        <f>("W00002300")</f>
        <v>W00002300</v>
      </c>
      <c r="C990" s="1" t="str">
        <f>("Lippincott's manual of psychiatric nursing care plans /")</f>
        <v>Lippincott's manual of psychiatric nursing care plans /</v>
      </c>
      <c r="D990" s="1" t="str">
        <f t="shared" si="36"/>
        <v>4F西文書庫 4F Western Language Books</v>
      </c>
      <c r="E990" s="1" t="str">
        <f>("RC440 S389 1998 c.2")</f>
        <v>RC440 S389 1998 c.2</v>
      </c>
    </row>
    <row r="991" spans="2:5" x14ac:dyDescent="0.25">
      <c r="B991" s="1" t="str">
        <f>("W00002109")</f>
        <v>W00002109</v>
      </c>
      <c r="C991" s="1" t="str">
        <f>("Basic concepts in psychiatric-mental health nursing /")</f>
        <v>Basic concepts in psychiatric-mental health nursing /</v>
      </c>
      <c r="D991" s="1" t="str">
        <f t="shared" si="36"/>
        <v>4F西文書庫 4F Western Language Books</v>
      </c>
      <c r="E991" s="1" t="str">
        <f>("RC440 S555 1998")</f>
        <v>RC440 S555 1998</v>
      </c>
    </row>
    <row r="992" spans="2:5" x14ac:dyDescent="0.25">
      <c r="B992" s="1" t="str">
        <f>("W00002316")</f>
        <v>W00002316</v>
      </c>
      <c r="C992" s="1" t="str">
        <f>("Mental health issues &amp; aging :building on the strengths of older persons /")</f>
        <v>Mental health issues &amp; aging :building on the strengths of older persons /</v>
      </c>
      <c r="D992" s="1" t="str">
        <f t="shared" si="36"/>
        <v>4F西文書庫 4F Western Language Books</v>
      </c>
      <c r="E992" s="1" t="str">
        <f>("RC451.4 T555 1996")</f>
        <v>RC451.4 T555 1996</v>
      </c>
    </row>
    <row r="993" spans="2:5" x14ac:dyDescent="0.25">
      <c r="B993" s="1" t="str">
        <f>("W00002175")</f>
        <v>W00002175</v>
      </c>
      <c r="C993" s="1" t="str">
        <f>("Counseling and psychotherapy: an integrated, individual psychology approach/ ")</f>
        <v xml:space="preserve">Counseling and psychotherapy: an integrated, individual psychology approach/ </v>
      </c>
      <c r="D993" s="1" t="str">
        <f t="shared" si="36"/>
        <v>4F西文書庫 4F Western Language Books</v>
      </c>
      <c r="E993" s="1" t="str">
        <f>("RC480.5.D56 D583 2000")</f>
        <v>RC480.5.D56 D583 2000</v>
      </c>
    </row>
    <row r="994" spans="2:5" x14ac:dyDescent="0.25">
      <c r="B994" s="1" t="str">
        <f>("W00002165")</f>
        <v>W00002165</v>
      </c>
      <c r="C994" s="1" t="str">
        <f>("Practical guide to the care of the medical patient /")</f>
        <v>Practical guide to the care of the medical patient /</v>
      </c>
      <c r="D994" s="1" t="str">
        <f t="shared" si="36"/>
        <v>4F西文書庫 4F Western Language Books</v>
      </c>
      <c r="E994" s="1" t="str">
        <f>("RC55 F388 1998")</f>
        <v>RC55 F388 1998</v>
      </c>
    </row>
    <row r="995" spans="2:5" x14ac:dyDescent="0.25">
      <c r="B995" s="1" t="str">
        <f>("W00002324")</f>
        <v>W00002324</v>
      </c>
      <c r="C995" s="1" t="str">
        <f>("Handbook of diagnosis and treatment of the DSM-IV personality disorders /")</f>
        <v>Handbook of diagnosis and treatment of the DSM-IV personality disorders /</v>
      </c>
      <c r="D995" s="1" t="str">
        <f t="shared" si="36"/>
        <v>4F西文書庫 4F Western Language Books</v>
      </c>
      <c r="E995" s="1" t="str">
        <f>("RC554 S751 1999")</f>
        <v>RC554 S751 1999</v>
      </c>
    </row>
    <row r="996" spans="2:5" x14ac:dyDescent="0.25">
      <c r="B996" s="1" t="str">
        <f>("W00002213")</f>
        <v>W00002213</v>
      </c>
      <c r="C996" s="1" t="str">
        <f>("Healing addictions : the vulnerability model of recovery / ")</f>
        <v xml:space="preserve">Healing addictions : the vulnerability model of recovery / </v>
      </c>
      <c r="D996" s="1" t="str">
        <f t="shared" si="36"/>
        <v>4F西文書庫 4F Western Language Books</v>
      </c>
      <c r="E996" s="1" t="str">
        <f>("RC564 S313 1997")</f>
        <v>RC564 S313 1997</v>
      </c>
    </row>
    <row r="997" spans="2:5" x14ac:dyDescent="0.25">
      <c r="B997" s="1" t="str">
        <f>("W00002269")</f>
        <v>W00002269</v>
      </c>
      <c r="C997" s="1" t="str">
        <f>("The clinical encounter :a guide to the medical interview and case presentation /")</f>
        <v>The clinical encounter :a guide to the medical interview and case presentation /</v>
      </c>
      <c r="D997" s="1" t="str">
        <f t="shared" si="36"/>
        <v>4F西文書庫 4F Western Language Books</v>
      </c>
      <c r="E997" s="1" t="str">
        <f>("RC65 B598 1998")</f>
        <v>RC65 B598 1998</v>
      </c>
    </row>
    <row r="998" spans="2:5" x14ac:dyDescent="0.25">
      <c r="B998" s="1" t="str">
        <f>("W00002152")</f>
        <v>W00002152</v>
      </c>
      <c r="C998" s="1" t="str">
        <f>("How to survive ACLS! / ")</f>
        <v xml:space="preserve">How to survive ACLS! / </v>
      </c>
      <c r="D998" s="1" t="str">
        <f t="shared" si="36"/>
        <v>4F西文書庫 4F Western Language Books</v>
      </c>
      <c r="E998" s="1" t="str">
        <f>("RC685.C173 D652 1998")</f>
        <v>RC685.C173 D652 1998</v>
      </c>
    </row>
    <row r="999" spans="2:5" x14ac:dyDescent="0.25">
      <c r="B999" s="1" t="str">
        <f>("W00002345")</f>
        <v>W00002345</v>
      </c>
      <c r="C999" s="1" t="str">
        <f>("Case profiles in respiratory care /")</f>
        <v>Case profiles in respiratory care /</v>
      </c>
      <c r="D999" s="1" t="str">
        <f t="shared" si="36"/>
        <v>4F西文書庫 4F Western Language Books</v>
      </c>
      <c r="E999" s="1" t="str">
        <f>("RC735.I5 F874 1996")</f>
        <v>RC735.I5 F874 1996</v>
      </c>
    </row>
    <row r="1000" spans="2:5" x14ac:dyDescent="0.25">
      <c r="B1000" s="1" t="str">
        <f>("W00002183")</f>
        <v>W00002183</v>
      </c>
      <c r="C1000" s="1" t="str">
        <f>("Registry review in computed tomography /")</f>
        <v>Registry review in computed tomography /</v>
      </c>
      <c r="D1000" s="1" t="str">
        <f t="shared" si="36"/>
        <v>4F西文書庫 4F Western Language Books</v>
      </c>
      <c r="E1000" s="1" t="str">
        <f>("RC78.7.T6 D369 1996")</f>
        <v>RC78.7.T6 D369 1996</v>
      </c>
    </row>
    <row r="1001" spans="2:5" x14ac:dyDescent="0.25">
      <c r="B1001" s="1" t="str">
        <f>("W00002161")</f>
        <v>W00002161</v>
      </c>
      <c r="C1001" s="1" t="str">
        <f>("Intermediate emergency care exam review / ")</f>
        <v xml:space="preserve">Intermediate emergency care exam review / </v>
      </c>
      <c r="D1001" s="1" t="str">
        <f t="shared" si="36"/>
        <v>4F西文書庫 4F Western Language Books</v>
      </c>
      <c r="E1001" s="1" t="str">
        <f>("RC86.9 C521 1996")</f>
        <v>RC86.9 C521 1996</v>
      </c>
    </row>
    <row r="1002" spans="2:5" x14ac:dyDescent="0.25">
      <c r="B1002" s="1" t="str">
        <f>("W00002301")</f>
        <v>W00002301</v>
      </c>
      <c r="C1002" s="1" t="str">
        <f>("Churchill's mastery of medicine obstetrics and gynaecology /")</f>
        <v>Churchill's mastery of medicine obstetrics and gynaecology /</v>
      </c>
      <c r="D1002" s="1" t="str">
        <f t="shared" si="36"/>
        <v>4F西文書庫 4F Western Language Books</v>
      </c>
      <c r="E1002" s="1" t="str">
        <f>("RG111 M111 1998")</f>
        <v>RG111 M111 1998</v>
      </c>
    </row>
    <row r="1003" spans="2:5" x14ac:dyDescent="0.25">
      <c r="B1003" s="1" t="str">
        <f>("W00002237")</f>
        <v>W00002237</v>
      </c>
      <c r="C1003" s="1" t="str">
        <f>("Social perspectives on pregnancy and childbirth for midwives, nurses and the caring professions /")</f>
        <v>Social perspectives on pregnancy and childbirth for midwives, nurses and the caring professions /</v>
      </c>
      <c r="D1003" s="1" t="str">
        <f t="shared" si="36"/>
        <v>4F西文書庫 4F Western Language Books</v>
      </c>
      <c r="E1003" s="1" t="str">
        <f>("RG556 K37 2000")</f>
        <v>RG556 K37 2000</v>
      </c>
    </row>
    <row r="1004" spans="2:5" x14ac:dyDescent="0.25">
      <c r="B1004" s="1" t="str">
        <f>("W00002303")</f>
        <v>W00002303</v>
      </c>
      <c r="C1004" s="1" t="str">
        <f>("Broadribb's introductory pediatric nursing. ")</f>
        <v xml:space="preserve">Broadribb's introductory pediatric nursing. </v>
      </c>
      <c r="D1004" s="1" t="str">
        <f t="shared" si="36"/>
        <v>4F西文書庫 4F Western Language Books</v>
      </c>
      <c r="E1004" s="1" t="str">
        <f>("RJ245 M345 1998")</f>
        <v>RJ245 M345 1998</v>
      </c>
    </row>
    <row r="1005" spans="2:5" x14ac:dyDescent="0.25">
      <c r="B1005" s="1" t="str">
        <f>("W00002155")</f>
        <v>W00002155</v>
      </c>
      <c r="C1005" s="1" t="str">
        <f>("Introduction to maternal and child health nursing / ")</f>
        <v xml:space="preserve">Introduction to maternal and child health nursing / </v>
      </c>
      <c r="D1005" s="1" t="str">
        <f t="shared" ref="D1005:D1036" si="37">("4F西文書庫 4F Western Language Books")</f>
        <v>4F西文書庫 4F Western Language Books</v>
      </c>
      <c r="E1005" s="1" t="str">
        <f>("RJ245 N383 1996")</f>
        <v>RJ245 N383 1996</v>
      </c>
    </row>
    <row r="1006" spans="2:5" x14ac:dyDescent="0.25">
      <c r="B1006" s="1" t="str">
        <f>("W00002156")</f>
        <v>W00002156</v>
      </c>
      <c r="C1006" s="1" t="str">
        <f>("Acupuncture and related techniques in physical therapy / ")</f>
        <v xml:space="preserve">Acupuncture and related techniques in physical therapy / </v>
      </c>
      <c r="D1006" s="1" t="str">
        <f t="shared" si="37"/>
        <v>4F西文書庫 4F Western Language Books</v>
      </c>
      <c r="E1006" s="1" t="str">
        <f>("RM184 H791 1997")</f>
        <v>RM184 H791 1997</v>
      </c>
    </row>
    <row r="1007" spans="2:5" x14ac:dyDescent="0.25">
      <c r="B1007" s="1" t="str">
        <f>("W00002097")</f>
        <v>W00002097</v>
      </c>
      <c r="C1007" s="1" t="str">
        <f>("Pharmacology  ")</f>
        <v xml:space="preserve">Pharmacology  </v>
      </c>
      <c r="D1007" s="1" t="str">
        <f t="shared" si="37"/>
        <v>4F西文書庫 4F Western Language Books</v>
      </c>
      <c r="E1007" s="1" t="str">
        <f>("RM301.14 P536 1998")</f>
        <v>RM301.14 P536 1998</v>
      </c>
    </row>
    <row r="1008" spans="2:5" x14ac:dyDescent="0.25">
      <c r="B1008" s="1" t="str">
        <f>("W00002432")</f>
        <v>W00002432</v>
      </c>
      <c r="C1008" s="1" t="str">
        <f>("Lippincott's need-to-know psychotropic drug facts / ")</f>
        <v xml:space="preserve">Lippincott's need-to-know psychotropic drug facts / </v>
      </c>
      <c r="D1008" s="1" t="str">
        <f t="shared" si="37"/>
        <v>4F西文書庫 4F Western Language Books</v>
      </c>
      <c r="E1008" s="1" t="str">
        <f>("RM315 B155 1998")</f>
        <v>RM315 B155 1998</v>
      </c>
    </row>
    <row r="1009" spans="2:5" x14ac:dyDescent="0.25">
      <c r="B1009" s="1" t="str">
        <f>("W00002287")</f>
        <v>W00002287</v>
      </c>
      <c r="C1009" s="1" t="str">
        <f>("Introduction to physical therapy /")</f>
        <v>Introduction to physical therapy /</v>
      </c>
      <c r="D1009" s="1" t="str">
        <f t="shared" si="37"/>
        <v>4F西文書庫 4F Western Language Books</v>
      </c>
      <c r="E1009" s="1" t="str">
        <f>("RM700 P138 2001")</f>
        <v>RM700 P138 2001</v>
      </c>
    </row>
    <row r="1010" spans="2:5" x14ac:dyDescent="0.25">
      <c r="B1010" s="1" t="str">
        <f>("W00002170")</f>
        <v>W00002170</v>
      </c>
      <c r="C1010" s="1" t="str">
        <f>("Management in occupational therapy /")</f>
        <v>Management in occupational therapy /</v>
      </c>
      <c r="D1010" s="1" t="str">
        <f t="shared" si="37"/>
        <v>4F西文書庫 4F Western Language Books</v>
      </c>
      <c r="E1010" s="1" t="str">
        <f>("RM735.6 M397 1991")</f>
        <v>RM735.6 M397 1991</v>
      </c>
    </row>
    <row r="1011" spans="2:5" x14ac:dyDescent="0.25">
      <c r="B1011" s="1" t="str">
        <f>("W00002093")</f>
        <v>W00002093</v>
      </c>
      <c r="C1011" s="1" t="str">
        <f>("A team approach to the aquatic continuum of care / ")</f>
        <v xml:space="preserve">A team approach to the aquatic continuum of care / </v>
      </c>
      <c r="D1011" s="1" t="str">
        <f t="shared" si="37"/>
        <v>4F西文書庫 4F Western Language Books</v>
      </c>
      <c r="E1011" s="1" t="str">
        <f>("RM811 N882 2000")</f>
        <v>RM811 N882 2000</v>
      </c>
    </row>
    <row r="1012" spans="2:5" x14ac:dyDescent="0.25">
      <c r="B1012" s="1" t="str">
        <f>("W00002431")</f>
        <v>W00002431</v>
      </c>
      <c r="C1012" s="1" t="str">
        <f>("Medical-surgical nursing:  foundations for clinical practice/ ")</f>
        <v xml:space="preserve">Medical-surgical nursing:  foundations for clinical practice/ </v>
      </c>
      <c r="D1012" s="1" t="str">
        <f t="shared" si="37"/>
        <v>4F西文書庫 4F Western Language Books</v>
      </c>
      <c r="E1012" s="1" t="str">
        <f>("RT41 M735 1998")</f>
        <v>RT41 M735 1998</v>
      </c>
    </row>
    <row r="1013" spans="2:5" x14ac:dyDescent="0.25">
      <c r="B1013" s="1" t="str">
        <f>("W00002453")</f>
        <v>W00002453</v>
      </c>
      <c r="C1013" s="1" t="str">
        <f>("Nurse's quick reference to common laboratory and diagnostic tests / ")</f>
        <v xml:space="preserve">Nurse's quick reference to common laboratory and diagnostic tests / </v>
      </c>
      <c r="D1013" s="1" t="str">
        <f t="shared" si="37"/>
        <v>4F西文書庫 4F Western Language Books</v>
      </c>
      <c r="E1013" s="1" t="str">
        <f>("RT48.5 N974 1998")</f>
        <v>RT48.5 N974 1998</v>
      </c>
    </row>
    <row r="1014" spans="2:5" x14ac:dyDescent="0.25">
      <c r="B1014" s="1" t="str">
        <f>("W00002168")</f>
        <v>W00002168</v>
      </c>
      <c r="C1014" s="1" t="str">
        <f>("Handbook of nursing diagnosis / ")</f>
        <v xml:space="preserve">Handbook of nursing diagnosis / </v>
      </c>
      <c r="D1014" s="1" t="str">
        <f t="shared" si="37"/>
        <v>4F西文書庫 4F Western Language Books</v>
      </c>
      <c r="E1014" s="1" t="str">
        <f>("RT48.6 C295 1997")</f>
        <v>RT48.6 C295 1997</v>
      </c>
    </row>
    <row r="1015" spans="2:5" x14ac:dyDescent="0.25">
      <c r="B1015" s="1" t="str">
        <f>("W00003000")</f>
        <v>W00003000</v>
      </c>
      <c r="C1015" s="1" t="str">
        <f>("Applying nursing process : a step-by-step approach / ")</f>
        <v xml:space="preserve">Applying nursing process : a step-by-step approach / </v>
      </c>
      <c r="D1015" s="1" t="str">
        <f t="shared" si="37"/>
        <v>4F西文書庫 4F Western Language Books</v>
      </c>
      <c r="E1015" s="1" t="str">
        <f>("RT51 A385 1998")</f>
        <v>RT51 A385 1998</v>
      </c>
    </row>
    <row r="1016" spans="2:5" x14ac:dyDescent="0.25">
      <c r="B1016" s="1" t="str">
        <f>("W00002335")</f>
        <v>W00002335</v>
      </c>
      <c r="C1016" s="1" t="str">
        <f>("Manual of medical-surgical nursing care : nursing interventions and collaborative management / ")</f>
        <v xml:space="preserve">Manual of medical-surgical nursing care : nursing interventions and collaborative management / </v>
      </c>
      <c r="D1016" s="1" t="str">
        <f t="shared" si="37"/>
        <v>4F西文書庫 4F Western Language Books</v>
      </c>
      <c r="E1016" s="1" t="str">
        <f>("RT51 S974 1999")</f>
        <v>RT51 S974 1999</v>
      </c>
    </row>
    <row r="1017" spans="2:5" x14ac:dyDescent="0.25">
      <c r="B1017" s="1" t="str">
        <f>("W00002281")</f>
        <v>W00002281</v>
      </c>
      <c r="C1017" s="1" t="str">
        <f>("Soar to success :do your best on nursing tests /")</f>
        <v>Soar to success :do your best on nursing tests /</v>
      </c>
      <c r="D1017" s="1" t="str">
        <f t="shared" si="37"/>
        <v>4F西文書庫 4F Western Language Books</v>
      </c>
      <c r="E1017" s="1" t="str">
        <f>("RT55 R749 1999")</f>
        <v>RT55 R749 1999</v>
      </c>
    </row>
    <row r="1018" spans="2:5" x14ac:dyDescent="0.25">
      <c r="B1018" s="1" t="str">
        <f>("W00002164")</f>
        <v>W00002164</v>
      </c>
      <c r="C1018" s="1" t="str">
        <f>("Math for nurses : a pocket guide to dosage calculation and drug preparation / ")</f>
        <v xml:space="preserve">Math for nurses : a pocket guide to dosage calculation and drug preparation / </v>
      </c>
      <c r="D1018" s="1" t="str">
        <f t="shared" si="37"/>
        <v>4F西文書庫 4F Western Language Books</v>
      </c>
      <c r="E1018" s="1" t="str">
        <f>("RT68 B791 1998")</f>
        <v>RT68 B791 1998</v>
      </c>
    </row>
    <row r="1019" spans="2:5" x14ac:dyDescent="0.25">
      <c r="B1019" s="1" t="str">
        <f>("W00002162")</f>
        <v>W00002162</v>
      </c>
      <c r="C1019" s="1" t="str">
        <f>("Lippincott's need-to-know : research survival guide / ")</f>
        <v xml:space="preserve">Lippincott's need-to-know : research survival guide / </v>
      </c>
      <c r="D1019" s="1" t="str">
        <f t="shared" si="37"/>
        <v>4F西文書庫 4F Western Language Books</v>
      </c>
      <c r="E1019" s="1" t="str">
        <f>("RT81.5 D691 1998")</f>
        <v>RT81.5 D691 1998</v>
      </c>
    </row>
    <row r="1020" spans="2:5" x14ac:dyDescent="0.25">
      <c r="B1020" s="1" t="str">
        <f>("W00002317")</f>
        <v>W00002317</v>
      </c>
      <c r="C1020" s="1" t="str">
        <f>("Healing and the grief process /")</f>
        <v>Healing and the grief process /</v>
      </c>
      <c r="D1020" s="1" t="str">
        <f t="shared" si="37"/>
        <v>4F西文書庫 4F Western Language Books</v>
      </c>
      <c r="E1020" s="1" t="str">
        <f>("RT86 R628 1997")</f>
        <v>RT86 R628 1997</v>
      </c>
    </row>
    <row r="1021" spans="2:5" x14ac:dyDescent="0.25">
      <c r="B1021" s="1" t="str">
        <f>("W00002217")</f>
        <v>W00002217</v>
      </c>
      <c r="C1021" s="1" t="str">
        <f>("Healing meditation / ")</f>
        <v xml:space="preserve">Healing meditation / </v>
      </c>
      <c r="D1021" s="1" t="str">
        <f t="shared" si="37"/>
        <v>4F西文書庫 4F Western Language Books</v>
      </c>
      <c r="E1021" s="1" t="str">
        <f>("RT86 U52 1997")</f>
        <v>RT86 U52 1997</v>
      </c>
    </row>
    <row r="1022" spans="2:5" x14ac:dyDescent="0.25">
      <c r="B1022" s="1" t="str">
        <f>("W00002358")</f>
        <v>W00002358</v>
      </c>
      <c r="C1022" s="1" t="str">
        <f>("Management decision making for nurses : 124 case studies / ")</f>
        <v xml:space="preserve">Management decision making for nurses : 124 case studies / </v>
      </c>
      <c r="D1022" s="1" t="str">
        <f t="shared" si="37"/>
        <v>4F西文書庫 4F Western Language Books</v>
      </c>
      <c r="E1022" s="1" t="str">
        <f>("RT89 M357 1998")</f>
        <v>RT89 M357 1998</v>
      </c>
    </row>
    <row r="1023" spans="2:5" x14ac:dyDescent="0.25">
      <c r="B1023" s="1" t="str">
        <f>("W00002209")</f>
        <v>W00002209</v>
      </c>
      <c r="C1023" s="1" t="str">
        <f>("Into the community : nursing in ambulatory and home care / ")</f>
        <v xml:space="preserve">Into the community : nursing in ambulatory and home care / </v>
      </c>
      <c r="D1023" s="1" t="str">
        <f t="shared" si="37"/>
        <v>4F西文書庫 4F Western Language Books</v>
      </c>
      <c r="E1023" s="1" t="str">
        <f>("RT98 S765 1998")</f>
        <v>RT98 S765 1998</v>
      </c>
    </row>
    <row r="1024" spans="2:5" x14ac:dyDescent="0.25">
      <c r="B1024" s="1" t="str">
        <f>("W00002972")</f>
        <v>W00002972</v>
      </c>
      <c r="C1024" s="1" t="str">
        <f>("The modern garden /")</f>
        <v>The modern garden /</v>
      </c>
      <c r="D1024" s="1" t="str">
        <f t="shared" si="37"/>
        <v>4F西文書庫 4F Western Language Books</v>
      </c>
      <c r="E1024" s="1" t="str">
        <f>("SB465 B882 2000")</f>
        <v>SB465 B882 2000</v>
      </c>
    </row>
    <row r="1025" spans="2:10" x14ac:dyDescent="0.25">
      <c r="B1025" s="1" t="str">
        <f>("W00002975")</f>
        <v>W00002975</v>
      </c>
      <c r="C1025" s="1" t="str">
        <f>("DAN KILEY: in his own words/ ")</f>
        <v xml:space="preserve">DAN KILEY: in his own words/ </v>
      </c>
      <c r="D1025" s="1" t="str">
        <f t="shared" si="37"/>
        <v>4F西文書庫 4F Western Language Books</v>
      </c>
      <c r="E1025" s="1" t="str">
        <f>("SB470.K55 K48 1999")</f>
        <v>SB470.K55 K48 1999</v>
      </c>
    </row>
    <row r="1026" spans="2:10" x14ac:dyDescent="0.25">
      <c r="B1026" s="1" t="str">
        <f>("W00002973")</f>
        <v>W00002973</v>
      </c>
      <c r="C1026" s="1" t="str">
        <f>("Ten landscapes /")</f>
        <v>Ten landscapes /</v>
      </c>
      <c r="D1026" s="1" t="str">
        <f t="shared" si="37"/>
        <v>4F西文書庫 4F Western Language Books</v>
      </c>
      <c r="E1026" s="1" t="str">
        <f>("SB470.M3 T865 1999")</f>
        <v>SB470.M3 T865 1999</v>
      </c>
    </row>
    <row r="1027" spans="2:10" x14ac:dyDescent="0.25">
      <c r="B1027" s="1" t="str">
        <f>("W00002971")</f>
        <v>W00002971</v>
      </c>
      <c r="C1027" s="1" t="str">
        <f>("Raymond Jungles /")</f>
        <v>Raymond Jungles /</v>
      </c>
      <c r="D1027" s="1" t="str">
        <f t="shared" si="37"/>
        <v>4F西文書庫 4F Western Language Books</v>
      </c>
      <c r="E1027" s="1" t="str">
        <f>("SB470.M3 T865-2 1999")</f>
        <v>SB470.M3 T865-2 1999</v>
      </c>
    </row>
    <row r="1028" spans="2:10" x14ac:dyDescent="0.25">
      <c r="B1028" s="1" t="str">
        <f>("W00002978")</f>
        <v>W00002978</v>
      </c>
      <c r="C1028" s="1" t="str">
        <f>("Gardens for the future :  gestures against the wild / ")</f>
        <v xml:space="preserve">Gardens for the future :  gestures against the wild / </v>
      </c>
      <c r="D1028" s="1" t="str">
        <f t="shared" si="37"/>
        <v>4F西文書庫 4F Western Language Books</v>
      </c>
      <c r="E1028" s="1" t="str">
        <f>("SB472.45 C777 2000")</f>
        <v>SB472.45 C777 2000</v>
      </c>
    </row>
    <row r="1029" spans="2:10" x14ac:dyDescent="0.25">
      <c r="B1029" s="1" t="str">
        <f>("W00002984")</f>
        <v>W00002984</v>
      </c>
      <c r="C1029" s="1" t="str">
        <f>("a guide to choosing the best technologies and services/ ")</f>
        <v xml:space="preserve">a guide to choosing the best technologies and services/ </v>
      </c>
      <c r="D1029" s="1" t="str">
        <f t="shared" si="37"/>
        <v>4F西文書庫 4F Western Language Books</v>
      </c>
      <c r="E1029" s="1" t="str">
        <f>("T23.A1 P485 2000")</f>
        <v>T23.A1 P485 2000</v>
      </c>
    </row>
    <row r="1030" spans="2:10" x14ac:dyDescent="0.25">
      <c r="B1030" s="1" t="str">
        <f>("W00002860")</f>
        <v>W00002860</v>
      </c>
      <c r="C1030" s="1" t="str">
        <f>("CorelDRAW 10 : the official guide / ")</f>
        <v xml:space="preserve">CorelDRAW 10 : the official guide / </v>
      </c>
      <c r="D1030" s="1" t="str">
        <f t="shared" si="37"/>
        <v>4F西文書庫 4F Western Language Books</v>
      </c>
      <c r="E1030" s="1" t="str">
        <f>("T385 B162 2001")</f>
        <v>T385 B162 2001</v>
      </c>
    </row>
    <row r="1031" spans="2:10" x14ac:dyDescent="0.25">
      <c r="B1031" s="1" t="str">
        <f>("W00002650")</f>
        <v>W00002650</v>
      </c>
      <c r="C1031" s="1" t="str">
        <f>("Digital lighting &amp; rendering / ")</f>
        <v xml:space="preserve">Digital lighting &amp; rendering / </v>
      </c>
      <c r="D1031" s="1" t="str">
        <f t="shared" si="37"/>
        <v>4F西文書庫 4F Western Language Books</v>
      </c>
      <c r="E1031" s="1" t="str">
        <f>("T385 B617 2000")</f>
        <v>T385 B617 2000</v>
      </c>
    </row>
    <row r="1032" spans="2:10" x14ac:dyDescent="0.25">
      <c r="B1032" s="1" t="str">
        <f>("W00002843")</f>
        <v>W00002843</v>
      </c>
      <c r="C1032" s="1" t="str">
        <f>("3D game engine design :a practical approach to real-timecomputer graphics /")</f>
        <v>3D game engine design :a practical approach to real-timecomputer graphics /</v>
      </c>
      <c r="D1032" s="1" t="str">
        <f t="shared" si="37"/>
        <v>4F西文書庫 4F Western Language Books</v>
      </c>
      <c r="E1032" s="1" t="str">
        <f>("T385 E16 2000")</f>
        <v>T385 E16 2000</v>
      </c>
    </row>
    <row r="1033" spans="2:10" x14ac:dyDescent="0.25">
      <c r="B1033" s="1" t="str">
        <f>("W00002797")</f>
        <v>W00002797</v>
      </c>
      <c r="C1033" s="1" t="str">
        <f>("3D modeling &amp; surfacing /")</f>
        <v>3D modeling &amp; surfacing /</v>
      </c>
      <c r="D1033" s="1" t="str">
        <f t="shared" si="37"/>
        <v>4F西文書庫 4F Western Language Books</v>
      </c>
      <c r="E1033" s="1" t="str">
        <f>("T385 F598 1999")</f>
        <v>T385 F598 1999</v>
      </c>
    </row>
    <row r="1034" spans="2:10" x14ac:dyDescent="0.25">
      <c r="B1034" s="1" t="str">
        <f>("W00002868")</f>
        <v>W00002868</v>
      </c>
      <c r="C1034" s="1" t="str">
        <f>("AutoCAD VBA programming : tools and techniques / ")</f>
        <v xml:space="preserve">AutoCAD VBA programming : tools and techniques / </v>
      </c>
      <c r="D1034" s="1" t="str">
        <f t="shared" si="37"/>
        <v>4F西文書庫 4F Western Language Books</v>
      </c>
      <c r="E1034" s="1" t="str">
        <f>("T385 G438 1999")</f>
        <v>T385 G438 1999</v>
      </c>
    </row>
    <row r="1035" spans="2:10" x14ac:dyDescent="0.25">
      <c r="B1035" s="1" t="str">
        <f>("W00003232")</f>
        <v>W00003232</v>
      </c>
      <c r="C1035" s="1" t="str">
        <f>("The AutoCAD 3D companion :the illustrated guide to AutoCAD's third dimension for release 13 for Windows /")</f>
        <v>The AutoCAD 3D companion :the illustrated guide to AutoCAD's third dimension for release 13 for Windows /</v>
      </c>
      <c r="D1035" s="1" t="str">
        <f t="shared" si="37"/>
        <v>4F西文書庫 4F Western Language Books</v>
      </c>
      <c r="E1035" s="1" t="str">
        <f>("T385 H432 1995")</f>
        <v>T385 H432 1995</v>
      </c>
      <c r="G1035" s="1" t="str">
        <f>("xxii, 622 p. :")</f>
        <v>xxii, 622 p. :</v>
      </c>
      <c r="H1035" s="1" t="str">
        <f>("ill. :")</f>
        <v>ill. :</v>
      </c>
      <c r="I1035" s="1" t="str">
        <f>("24 cm. +")</f>
        <v>24 cm. +</v>
      </c>
      <c r="J1035" s="1" t="str">
        <f>("1 computer disk (3 1/2 in.)")</f>
        <v>1 computer disk (3 1/2 in.)</v>
      </c>
    </row>
    <row r="1036" spans="2:10" x14ac:dyDescent="0.25">
      <c r="B1036" s="1" t="str">
        <f>("W00002994")</f>
        <v>W00002994</v>
      </c>
      <c r="C1036" s="1" t="str">
        <f>("CorelDRAW for Linux / ")</f>
        <v xml:space="preserve">CorelDRAW for Linux / </v>
      </c>
      <c r="D1036" s="1" t="str">
        <f t="shared" si="37"/>
        <v>4F西文書庫 4F Western Language Books</v>
      </c>
      <c r="E1036" s="1" t="str">
        <f>("T385 H939 2001")</f>
        <v>T385 H939 2001</v>
      </c>
    </row>
    <row r="1037" spans="2:10" x14ac:dyDescent="0.25">
      <c r="B1037" s="1" t="str">
        <f>("W00002950")</f>
        <v>W00002950</v>
      </c>
      <c r="C1037" s="1" t="str">
        <f>("AutoCad 2000 in a nutshell : a command reference guide / ")</f>
        <v xml:space="preserve">AutoCad 2000 in a nutshell : a command reference guide / </v>
      </c>
      <c r="D1037" s="1" t="str">
        <f t="shared" ref="D1037:D1068" si="38">("4F西文書庫 4F Western Language Books")</f>
        <v>4F西文書庫 4F Western Language Books</v>
      </c>
      <c r="E1037" s="1" t="str">
        <f>("T385 K37 2000")</f>
        <v>T385 K37 2000</v>
      </c>
    </row>
    <row r="1038" spans="2:10" x14ac:dyDescent="0.25">
      <c r="B1038" s="1" t="str">
        <f>("W00002865")</f>
        <v>W00002865</v>
      </c>
      <c r="C1038" s="1" t="str">
        <f>("3D modeling in AutoCAD : mastering 3D design and drafting with AutoCAD release 14 / ")</f>
        <v xml:space="preserve">3D modeling in AutoCAD : mastering 3D design and drafting with AutoCAD release 14 / </v>
      </c>
      <c r="D1038" s="1" t="str">
        <f t="shared" si="38"/>
        <v>4F西文書庫 4F Western Language Books</v>
      </c>
      <c r="E1038" s="1" t="str">
        <f>("T385 W747 1999")</f>
        <v>T385 W747 1999</v>
      </c>
      <c r="F1038" s="1" t="str">
        <f>("一張光碟片")</f>
        <v>一張光碟片</v>
      </c>
    </row>
    <row r="1039" spans="2:10" x14ac:dyDescent="0.25">
      <c r="B1039" s="1" t="str">
        <f>("W00002772")</f>
        <v>W00002772</v>
      </c>
      <c r="C1039" s="1" t="str">
        <f>("OpenGL SuperBible / ")</f>
        <v xml:space="preserve">OpenGL SuperBible / </v>
      </c>
      <c r="D1039" s="1" t="str">
        <f t="shared" si="38"/>
        <v>4F西文書庫 4F Western Language Books</v>
      </c>
      <c r="E1039" s="1" t="str">
        <f>("T385 W947 2000")</f>
        <v>T385 W947 2000</v>
      </c>
    </row>
    <row r="1040" spans="2:10" x14ac:dyDescent="0.25">
      <c r="B1040" s="1" t="str">
        <f>("W00002069")</f>
        <v>W00002069</v>
      </c>
      <c r="C1040" s="1" t="str">
        <f>("Information technology and organizations :strategies, networks, and integration /")</f>
        <v>Information technology and organizations :strategies, networks, and integration /</v>
      </c>
      <c r="D1040" s="1" t="str">
        <f t="shared" si="38"/>
        <v>4F西文書庫 4F Western Language Books</v>
      </c>
      <c r="E1040" s="1" t="str">
        <f>("T58.5 B655 1999")</f>
        <v>T58.5 B655 1999</v>
      </c>
    </row>
    <row r="1041" spans="2:9" x14ac:dyDescent="0.25">
      <c r="B1041" s="1" t="str">
        <f>("W00003108")</f>
        <v>W00003108</v>
      </c>
      <c r="C1041" s="1" t="str">
        <f>("IT2010 :beyond the Web lifestyle /")</f>
        <v>IT2010 :beyond the Web lifestyle /</v>
      </c>
      <c r="D1041" s="1" t="str">
        <f t="shared" si="38"/>
        <v>4F西文書庫 4F Western Language Books</v>
      </c>
      <c r="E1041" s="1" t="str">
        <f>("T58.5 I88 1999")</f>
        <v>T58.5 I88 1999</v>
      </c>
    </row>
    <row r="1042" spans="2:9" x14ac:dyDescent="0.25">
      <c r="B1042" s="1" t="str">
        <f>("W00003266")</f>
        <v>W00003266</v>
      </c>
      <c r="C1042" s="1" t="str">
        <f>("Management information systems :organization and technology /")</f>
        <v>Management information systems :organization and technology /</v>
      </c>
      <c r="D1042" s="1" t="str">
        <f t="shared" si="38"/>
        <v>4F西文書庫 4F Western Language Books</v>
      </c>
      <c r="E1042" s="1" t="str">
        <f>("T58.6 L372 1994")</f>
        <v>T58.6 L372 1994</v>
      </c>
    </row>
    <row r="1043" spans="2:9" x14ac:dyDescent="0.25">
      <c r="B1043" s="1" t="str">
        <f>("W00003247")</f>
        <v>W00003247</v>
      </c>
      <c r="C1043" s="1" t="str">
        <f>("Information coordination :the management of information models, systems, and organizations /")</f>
        <v>Information coordination :the management of information models, systems, and organizations /</v>
      </c>
      <c r="D1043" s="1" t="str">
        <f t="shared" si="38"/>
        <v>4F西文書庫 4F Western Language Books</v>
      </c>
      <c r="E1043" s="1" t="str">
        <f>("T58.6 V573 1994")</f>
        <v>T58.6 V573 1994</v>
      </c>
    </row>
    <row r="1044" spans="2:9" x14ac:dyDescent="0.25">
      <c r="B1044" s="1" t="str">
        <f>("W00002464")</f>
        <v>W00002464</v>
      </c>
      <c r="C1044" s="1" t="str">
        <f>("Decision support and data warehouse systems/")</f>
        <v>Decision support and data warehouse systems/</v>
      </c>
      <c r="D1044" s="1" t="str">
        <f t="shared" si="38"/>
        <v>4F西文書庫 4F Western Language Books</v>
      </c>
      <c r="E1044" s="1" t="str">
        <f>("T58.62 M252 2000")</f>
        <v>T58.62 M252 2000</v>
      </c>
    </row>
    <row r="1045" spans="2:9" x14ac:dyDescent="0.25">
      <c r="B1045" s="1" t="str">
        <f>("W00003203")</f>
        <v>W00003203</v>
      </c>
      <c r="C1045" s="1" t="str">
        <f>("A practical guide to information systems process improvement /")</f>
        <v>A practical guide to information systems process improvement /</v>
      </c>
      <c r="D1045" s="1" t="str">
        <f t="shared" si="38"/>
        <v>4F西文書庫 4F Western Language Books</v>
      </c>
      <c r="E1045" s="1" t="str">
        <f>("T58.64 C345 2001")</f>
        <v>T58.64 C345 2001</v>
      </c>
    </row>
    <row r="1046" spans="2:9" x14ac:dyDescent="0.25">
      <c r="B1046" s="1" t="str">
        <f>("W00003248")</f>
        <v>W00003248</v>
      </c>
      <c r="C1046" s="1" t="str">
        <f>("Information systems management in practice /")</f>
        <v>Information systems management in practice /</v>
      </c>
      <c r="D1046" s="1" t="str">
        <f t="shared" si="38"/>
        <v>4F西文書庫 4F Western Language Books</v>
      </c>
      <c r="E1046" s="1" t="str">
        <f>("T58.64 I23 1998")</f>
        <v>T58.64 I23 1998</v>
      </c>
    </row>
    <row r="1047" spans="2:9" x14ac:dyDescent="0.25">
      <c r="B1047" s="1" t="str">
        <f>("W00003112")</f>
        <v>W00003112</v>
      </c>
      <c r="C1047" s="1" t="str">
        <f>("Mastering information management /")</f>
        <v>Mastering information management /</v>
      </c>
      <c r="D1047" s="1" t="str">
        <f t="shared" si="38"/>
        <v>4F西文書庫 4F Western Language Books</v>
      </c>
      <c r="E1047" s="1" t="str">
        <f>("T58.64 M423 2000")</f>
        <v>T58.64 M423 2000</v>
      </c>
    </row>
    <row r="1048" spans="2:9" x14ac:dyDescent="0.25">
      <c r="B1048" s="1" t="str">
        <f>("W00002123")</f>
        <v>W00002123</v>
      </c>
      <c r="C1048" s="1" t="str">
        <f>("Knowledge management tools /")</f>
        <v>Knowledge management tools /</v>
      </c>
      <c r="D1048" s="1" t="str">
        <f t="shared" si="38"/>
        <v>4F西文書庫 4F Western Language Books</v>
      </c>
      <c r="E1048" s="1" t="str">
        <f>("T58.64 R932 1997")</f>
        <v>T58.64 R932 1997</v>
      </c>
    </row>
    <row r="1049" spans="2:9" x14ac:dyDescent="0.25">
      <c r="B1049" s="1" t="str">
        <f>("W00002490")</f>
        <v>W00002490</v>
      </c>
      <c r="C1049" s="1" t="str">
        <f>("Planning, performing, and controlling projects :principles and applications /")</f>
        <v>Planning, performing, and controlling projects :principles and applications /</v>
      </c>
      <c r="D1049" s="1" t="str">
        <f t="shared" si="38"/>
        <v>4F西文書庫 4F Western Language Books</v>
      </c>
      <c r="E1049" s="1" t="str">
        <f>("T58.8 A595-2 2000")</f>
        <v>T58.8 A595-2 2000</v>
      </c>
    </row>
    <row r="1050" spans="2:9" x14ac:dyDescent="0.25">
      <c r="B1050" s="1" t="str">
        <f>("W00002040")</f>
        <v>W00002040</v>
      </c>
      <c r="C1050" s="1" t="str">
        <f>("American theme restaurants /")</f>
        <v>American theme restaurants /</v>
      </c>
      <c r="D1050" s="1" t="str">
        <f t="shared" si="38"/>
        <v>4F西文書庫 4F Western Language Books</v>
      </c>
      <c r="E1050" s="1" t="str">
        <f>("TA174 T111 1999")</f>
        <v>TA174 T111 1999</v>
      </c>
    </row>
    <row r="1051" spans="2:9" x14ac:dyDescent="0.25">
      <c r="B1051" s="1" t="str">
        <f>("W00002186")</f>
        <v>W00002186</v>
      </c>
      <c r="C1051" s="1" t="str">
        <f>("Structural analysis :a unified classical and matrix approach /")</f>
        <v>Structural analysis :a unified classical and matrix approach /</v>
      </c>
      <c r="D1051" s="1" t="str">
        <f t="shared" si="38"/>
        <v>4F西文書庫 4F Western Language Books</v>
      </c>
      <c r="E1051" s="1" t="str">
        <f>("TA645 G411 1997")</f>
        <v>TA645 G411 1997</v>
      </c>
    </row>
    <row r="1052" spans="2:9" x14ac:dyDescent="0.25">
      <c r="B1052" s="1" t="str">
        <f>("W00002951")</f>
        <v>W00002951</v>
      </c>
      <c r="C1052" s="1" t="str">
        <f>("Programming Win32 Under the API/ ")</f>
        <v xml:space="preserve">Programming Win32 Under the API/ </v>
      </c>
      <c r="D1052" s="1" t="str">
        <f t="shared" si="38"/>
        <v>4F西文書庫 4F Western Language Books</v>
      </c>
      <c r="E1052" s="1" t="str">
        <f>("TH2275 V716 2001")</f>
        <v>TH2275 V716 2001</v>
      </c>
    </row>
    <row r="1053" spans="2:9" x14ac:dyDescent="0.25">
      <c r="B1053" s="1" t="str">
        <f>("W00002204")</f>
        <v>W00002204</v>
      </c>
      <c r="C1053" s="1" t="str">
        <f>("Brand building on the internet/ ")</f>
        <v xml:space="preserve">Brand building on the internet/ </v>
      </c>
      <c r="D1053" s="1" t="str">
        <f t="shared" si="38"/>
        <v>4F西文書庫 4F Western Language Books</v>
      </c>
      <c r="E1053" s="1" t="str">
        <f>("TH3401 L748 2001")</f>
        <v>TH3401 L748 2001</v>
      </c>
    </row>
    <row r="1054" spans="2:9" x14ac:dyDescent="0.25">
      <c r="B1054" s="1" t="str">
        <f>("W00003245")</f>
        <v>W00003245</v>
      </c>
      <c r="C1054" s="1" t="str">
        <f>("Ethernet networks :design, implementation, operation, management /")</f>
        <v>Ethernet networks :design, implementation, operation, management /</v>
      </c>
      <c r="D1054" s="1" t="str">
        <f t="shared" si="38"/>
        <v>4F西文書庫 4F Western Language Books</v>
      </c>
      <c r="E1054" s="1" t="str">
        <f>("TK5015.8.E83 H474 1994")</f>
        <v>TK5015.8.E83 H474 1994</v>
      </c>
    </row>
    <row r="1055" spans="2:9" x14ac:dyDescent="0.25">
      <c r="B1055" s="1" t="str">
        <f>("W00002798")</f>
        <v>W00002798</v>
      </c>
      <c r="C1055" s="1" t="str">
        <f>("Communications systems and networks /")</f>
        <v>Communications systems and networks /</v>
      </c>
      <c r="D1055" s="1" t="str">
        <f t="shared" si="38"/>
        <v>4F西文書庫 4F Western Language Books</v>
      </c>
      <c r="E1055" s="1" t="str">
        <f>("TK5101 H812 1999")</f>
        <v>TK5101 H812 1999</v>
      </c>
      <c r="G1055" s="1" t="str">
        <f>("xlii, 697 p. :")</f>
        <v>xlii, 697 p. :</v>
      </c>
      <c r="H1055" s="1" t="str">
        <f>("ill. ;")</f>
        <v>ill. ;</v>
      </c>
      <c r="I1055" s="1" t="str">
        <f>("23 cm ")</f>
        <v xml:space="preserve">23 cm </v>
      </c>
    </row>
    <row r="1056" spans="2:9" x14ac:dyDescent="0.25">
      <c r="B1056" s="1" t="str">
        <f>("W00002866")</f>
        <v>W00002866</v>
      </c>
      <c r="C1056" s="1" t="str">
        <f>("Computer telephony encyclopedia /")</f>
        <v>Computer telephony encyclopedia /</v>
      </c>
      <c r="D1056" s="1" t="str">
        <f t="shared" si="38"/>
        <v>4F西文書庫 4F Western Language Books</v>
      </c>
      <c r="E1056" s="1" t="str">
        <f>("TK5102 G857 2000")</f>
        <v>TK5102 G857 2000</v>
      </c>
    </row>
    <row r="1057" spans="2:9" x14ac:dyDescent="0.25">
      <c r="B1057" s="1" t="str">
        <f>("W00002795")</f>
        <v>W00002795</v>
      </c>
      <c r="C1057" s="1" t="str">
        <f>("Cabling : the complete guide to network wiring / ")</f>
        <v xml:space="preserve">Cabling : the complete guide to network wiring / </v>
      </c>
      <c r="D1057" s="1" t="str">
        <f t="shared" si="38"/>
        <v>4F西文書庫 4F Western Language Books</v>
      </c>
      <c r="E1057" s="1" t="str">
        <f>("TK5103.12 G881 2000")</f>
        <v>TK5103.12 G881 2000</v>
      </c>
    </row>
    <row r="1058" spans="2:9" x14ac:dyDescent="0.25">
      <c r="B1058" s="1" t="str">
        <f>("W00002792")</f>
        <v>W00002792</v>
      </c>
      <c r="C1058" s="1" t="str">
        <f>("The essential guide to wireless communications applications :from cellular systems to WAP and M-Commerce /")</f>
        <v>The essential guide to wireless communications applications :from cellular systems to WAP and M-Commerce /</v>
      </c>
      <c r="D1058" s="1" t="str">
        <f t="shared" si="38"/>
        <v>4F西文書庫 4F Western Language Books</v>
      </c>
      <c r="E1058" s="1" t="str">
        <f>("TK5103.2 D713 2000")</f>
        <v>TK5103.2 D713 2000</v>
      </c>
      <c r="G1058" s="1" t="str">
        <f>("xvii, 315 p. :")</f>
        <v>xvii, 315 p. :</v>
      </c>
      <c r="H1058" s="1" t="str">
        <f>("ill., maps ;")</f>
        <v>ill., maps ;</v>
      </c>
      <c r="I1058" s="1" t="str">
        <f>("24 cm ")</f>
        <v xml:space="preserve">24 cm </v>
      </c>
    </row>
    <row r="1059" spans="2:9" x14ac:dyDescent="0.25">
      <c r="B1059" s="1" t="str">
        <f>("W00002697")</f>
        <v>W00002697</v>
      </c>
      <c r="C1059" s="1" t="str">
        <f>("Data over wireless networks : Bluetooth, WAP, and wireless LANS / ")</f>
        <v xml:space="preserve">Data over wireless networks : Bluetooth, WAP, and wireless LANS / </v>
      </c>
      <c r="D1059" s="1" t="str">
        <f t="shared" si="38"/>
        <v>4F西文書庫 4F Western Language Books</v>
      </c>
      <c r="E1059" s="1" t="str">
        <f>("TK5103.2 H474 2001")</f>
        <v>TK5103.2 H474 2001</v>
      </c>
      <c r="G1059" s="1" t="str">
        <f>("xxi, 344 p. : ")</f>
        <v xml:space="preserve">xxi, 344 p. : </v>
      </c>
      <c r="H1059" s="1" t="str">
        <f>("ill. ; ")</f>
        <v xml:space="preserve">ill. ; </v>
      </c>
      <c r="I1059" s="1" t="str">
        <f>("24 cm. ")</f>
        <v xml:space="preserve">24 cm. </v>
      </c>
    </row>
    <row r="1060" spans="2:9" x14ac:dyDescent="0.25">
      <c r="B1060" s="1" t="str">
        <f>("W00002695")</f>
        <v>W00002695</v>
      </c>
      <c r="C1060" s="1" t="str">
        <f>("Analyzing broadband networks / ")</f>
        <v xml:space="preserve">Analyzing broadband networks / </v>
      </c>
      <c r="D1060" s="1" t="str">
        <f t="shared" si="38"/>
        <v>4F西文書庫 4F Western Language Books</v>
      </c>
      <c r="E1060" s="1" t="str">
        <f>("TK5103.4 M647 2000")</f>
        <v>TK5103.4 M647 2000</v>
      </c>
    </row>
    <row r="1061" spans="2:9" x14ac:dyDescent="0.25">
      <c r="B1061" s="1" t="str">
        <f>("W00003228")</f>
        <v>W00003228</v>
      </c>
      <c r="C1061" s="1" t="str">
        <f>("The last mile :broadband and the next Internet revolution /")</f>
        <v>The last mile :broadband and the next Internet revolution /</v>
      </c>
      <c r="D1061" s="1" t="str">
        <f t="shared" si="38"/>
        <v>4F西文書庫 4F Western Language Books</v>
      </c>
      <c r="E1061" s="1" t="str">
        <f>("TK5103.4 W854 2001")</f>
        <v>TK5103.4 W854 2001</v>
      </c>
    </row>
    <row r="1062" spans="2:9" x14ac:dyDescent="0.25">
      <c r="B1062" s="1" t="str">
        <f>("W00003246")</f>
        <v>W00003246</v>
      </c>
      <c r="C1062" s="1" t="str">
        <f>("How the Web was won :conquering the digital frontier /")</f>
        <v>How the Web was won :conquering the digital frontier /</v>
      </c>
      <c r="D1062" s="1" t="str">
        <f t="shared" si="38"/>
        <v>4F西文書庫 4F Western Language Books</v>
      </c>
      <c r="E1062" s="1" t="str">
        <f>("TK5105 H847 1998")</f>
        <v>TK5105 H847 1998</v>
      </c>
    </row>
    <row r="1063" spans="2:9" x14ac:dyDescent="0.25">
      <c r="B1063" s="1" t="str">
        <f>("W00002588")</f>
        <v>W00002588</v>
      </c>
      <c r="C1063" s="1" t="str">
        <f>("Integrating Voice and data networks / ")</f>
        <v xml:space="preserve">Integrating Voice and data networks / </v>
      </c>
      <c r="D1063" s="1" t="str">
        <f t="shared" si="38"/>
        <v>4F西文書庫 4F Western Language Books</v>
      </c>
      <c r="E1063" s="1" t="str">
        <f>("TK5105 K25 2000")</f>
        <v>TK5105 K25 2000</v>
      </c>
      <c r="G1063" s="1" t="str">
        <f>("779 p. ; ")</f>
        <v xml:space="preserve">779 p. ; </v>
      </c>
      <c r="I1063" s="1" t="str">
        <f>("24 cm. ")</f>
        <v xml:space="preserve">24 cm. </v>
      </c>
    </row>
    <row r="1064" spans="2:9" x14ac:dyDescent="0.25">
      <c r="B1064" s="1" t="str">
        <f>("W00002613")</f>
        <v>W00002613</v>
      </c>
      <c r="C1064" s="1" t="str">
        <f>("IP applications with ATM /")</f>
        <v>IP applications with ATM /</v>
      </c>
      <c r="D1064" s="1" t="str">
        <f t="shared" si="38"/>
        <v>4F西文書庫 4F Western Language Books</v>
      </c>
      <c r="E1064" s="1" t="str">
        <f>("TK5105.35 A525 1998")</f>
        <v>TK5105.35 A525 1998</v>
      </c>
    </row>
    <row r="1065" spans="2:9" x14ac:dyDescent="0.25">
      <c r="B1065" s="1" t="str">
        <f>("W00002891")</f>
        <v>W00002891</v>
      </c>
      <c r="C1065" s="1" t="str">
        <f>("Building CISCO remote access networks /")</f>
        <v>Building CISCO remote access networks /</v>
      </c>
      <c r="D1065" s="1" t="str">
        <f t="shared" si="38"/>
        <v>4F西文書庫 4F Western Language Books</v>
      </c>
      <c r="E1065" s="1" t="str">
        <f>("TK5105.5 B257 2000")</f>
        <v>TK5105.5 B257 2000</v>
      </c>
    </row>
    <row r="1066" spans="2:9" x14ac:dyDescent="0.25">
      <c r="B1066" s="1" t="str">
        <f>("W00002861")</f>
        <v>W00002861</v>
      </c>
      <c r="C1066" s="1" t="str">
        <f>("Interworking technologies handbook / ")</f>
        <v xml:space="preserve">Interworking technologies handbook / </v>
      </c>
      <c r="D1066" s="1" t="str">
        <f t="shared" si="38"/>
        <v>4F西文書庫 4F Western Language Books</v>
      </c>
      <c r="E1066" s="1" t="str">
        <f>("TK5105.5 I61 2001")</f>
        <v>TK5105.5 I61 2001</v>
      </c>
    </row>
    <row r="1067" spans="2:9" x14ac:dyDescent="0.25">
      <c r="B1067" s="1" t="str">
        <f>("W00002871")</f>
        <v>W00002871</v>
      </c>
      <c r="C1067" s="1" t="str">
        <f>("Internetworking troubleshooting handbook / ")</f>
        <v xml:space="preserve">Internetworking troubleshooting handbook / </v>
      </c>
      <c r="D1067" s="1" t="str">
        <f t="shared" si="38"/>
        <v>4F西文書庫 4F Western Language Books</v>
      </c>
      <c r="E1067" s="1" t="str">
        <f>("TK5105.5 I61-2 2001")</f>
        <v>TK5105.5 I61-2 2001</v>
      </c>
    </row>
    <row r="1068" spans="2:9" x14ac:dyDescent="0.25">
      <c r="B1068" s="1" t="str">
        <f>("W00002736")</f>
        <v>W00002736</v>
      </c>
      <c r="C1068" s="1" t="str">
        <f>("Cisco switched internetworks / ")</f>
        <v xml:space="preserve">Cisco switched internetworks / </v>
      </c>
      <c r="D1068" s="1" t="str">
        <f t="shared" si="38"/>
        <v>4F西文書庫 4F Western Language Books</v>
      </c>
      <c r="E1068" s="1" t="str">
        <f>("TK5105.5 L673 1999")</f>
        <v>TK5105.5 L673 1999</v>
      </c>
    </row>
    <row r="1069" spans="2:9" x14ac:dyDescent="0.25">
      <c r="B1069" s="1" t="str">
        <f>("W00002713")</f>
        <v>W00002713</v>
      </c>
      <c r="C1069" s="1" t="str">
        <f>("IP network design / ")</f>
        <v xml:space="preserve">IP network design / </v>
      </c>
      <c r="D1069" s="1" t="str">
        <f t="shared" ref="D1069:D1100" si="39">("4F西文書庫 4F Western Language Books")</f>
        <v>4F西文書庫 4F Western Language Books</v>
      </c>
      <c r="E1069" s="1" t="str">
        <f>("TK5105.5 L848 2001")</f>
        <v>TK5105.5 L848 2001</v>
      </c>
    </row>
    <row r="1070" spans="2:9" x14ac:dyDescent="0.25">
      <c r="B1070" s="1" t="str">
        <f>("W00002676")</f>
        <v>W00002676</v>
      </c>
      <c r="C1070" s="1" t="str">
        <f>("Understanding the network : a practical guide to internetworking / ")</f>
        <v xml:space="preserve">Understanding the network : a practical guide to internetworking / </v>
      </c>
      <c r="D1070" s="1" t="str">
        <f t="shared" si="39"/>
        <v>4F西文書庫 4F Western Language Books</v>
      </c>
      <c r="E1070" s="1" t="str">
        <f>("TK5105.5 M379 2000")</f>
        <v>TK5105.5 M379 2000</v>
      </c>
    </row>
    <row r="1071" spans="2:9" x14ac:dyDescent="0.25">
      <c r="B1071" s="1" t="str">
        <f>("W00002831")</f>
        <v>W00002831</v>
      </c>
      <c r="C1071" s="1" t="str">
        <f>("Ad hoc networking / ")</f>
        <v xml:space="preserve">Ad hoc networking / </v>
      </c>
      <c r="D1071" s="1" t="str">
        <f t="shared" si="39"/>
        <v>4F西文書庫 4F Western Language Books</v>
      </c>
      <c r="E1071" s="1" t="str">
        <f>("TK5105.5 P448 2001")</f>
        <v>TK5105.5 P448 2001</v>
      </c>
    </row>
    <row r="1072" spans="2:9" x14ac:dyDescent="0.25">
      <c r="B1072" s="1" t="str">
        <f>("W00002690")</f>
        <v>W00002690</v>
      </c>
      <c r="C1072" s="1" t="str">
        <f>("Cisco and IP addressing")</f>
        <v>Cisco and IP addressing</v>
      </c>
      <c r="D1072" s="1" t="str">
        <f t="shared" si="39"/>
        <v>4F西文書庫 4F Western Language Books</v>
      </c>
      <c r="E1072" s="1" t="str">
        <f>("TK5105.5 R831 1999")</f>
        <v>TK5105.5 R831 1999</v>
      </c>
    </row>
    <row r="1073" spans="2:10" x14ac:dyDescent="0.25">
      <c r="B1073" s="1" t="str">
        <f>("W00002692")</f>
        <v>W00002692</v>
      </c>
      <c r="C1073" s="1" t="str">
        <f>("Cisco : a beginner's guide / ")</f>
        <v xml:space="preserve">Cisco : a beginner's guide / </v>
      </c>
      <c r="D1073" s="1" t="str">
        <f t="shared" si="39"/>
        <v>4F西文書庫 4F Western Language Books</v>
      </c>
      <c r="E1073" s="1" t="str">
        <f>("TK5105.5 S524 2000")</f>
        <v>TK5105.5 S524 2000</v>
      </c>
    </row>
    <row r="1074" spans="2:10" x14ac:dyDescent="0.25">
      <c r="B1074" s="1" t="str">
        <f>("W00002768")</f>
        <v>W00002768</v>
      </c>
      <c r="C1074" s="1" t="str">
        <f>("Cisco Internetworking with Windows NT &amp; 2000 /")</f>
        <v>Cisco Internetworking with Windows NT &amp; 2000 /</v>
      </c>
      <c r="D1074" s="1" t="str">
        <f t="shared" si="39"/>
        <v>4F西文書庫 4F Western Language Books</v>
      </c>
      <c r="E1074" s="1" t="str">
        <f>("TK5105.5 V445 2000")</f>
        <v>TK5105.5 V445 2000</v>
      </c>
      <c r="G1074" s="1" t="str">
        <f>("xxv, 726 p. : ")</f>
        <v xml:space="preserve">xxv, 726 p. : </v>
      </c>
      <c r="H1074" s="1" t="str">
        <f>("ill. ; ")</f>
        <v xml:space="preserve">ill. ; </v>
      </c>
      <c r="I1074" s="1" t="str">
        <f>("23 cm. ")</f>
        <v xml:space="preserve">23 cm. </v>
      </c>
    </row>
    <row r="1075" spans="2:10" x14ac:dyDescent="0.25">
      <c r="B1075" s="1" t="str">
        <f>("W00002748")</f>
        <v>W00002748</v>
      </c>
      <c r="C1075" s="1" t="str">
        <f>("Practical Cisco routers / ")</f>
        <v xml:space="preserve">Practical Cisco routers / </v>
      </c>
      <c r="D1075" s="1" t="str">
        <f t="shared" si="39"/>
        <v>4F西文書庫 4F Western Language Books</v>
      </c>
      <c r="E1075" s="1" t="str">
        <f>("TK5105.543 H113 1999")</f>
        <v>TK5105.543 H113 1999</v>
      </c>
    </row>
    <row r="1076" spans="2:10" x14ac:dyDescent="0.25">
      <c r="B1076" s="1" t="str">
        <f>("W00002606")</f>
        <v>W00002606</v>
      </c>
      <c r="C1076" s="1" t="str">
        <f>("Internet routing architectures / ")</f>
        <v xml:space="preserve">Internet routing architectures / </v>
      </c>
      <c r="D1076" s="1" t="str">
        <f t="shared" si="39"/>
        <v>4F西文書庫 4F Western Language Books</v>
      </c>
      <c r="E1076" s="1" t="str">
        <f>("TK5105.543 H157 2000")</f>
        <v>TK5105.543 H157 2000</v>
      </c>
    </row>
    <row r="1077" spans="2:10" x14ac:dyDescent="0.25">
      <c r="B1077" s="1" t="str">
        <f>("W00002769")</f>
        <v>W00002769</v>
      </c>
      <c r="C1077" s="1" t="str">
        <f>("RIP : an intra-domain routing protocol / ")</f>
        <v xml:space="preserve">RIP : an intra-domain routing protocol / </v>
      </c>
      <c r="D1077" s="1" t="str">
        <f t="shared" si="39"/>
        <v>4F西文書庫 4F Western Language Books</v>
      </c>
      <c r="E1077" s="1" t="str">
        <f>("TK5105.543 M236 2000")</f>
        <v>TK5105.543 M236 2000</v>
      </c>
    </row>
    <row r="1078" spans="2:10" x14ac:dyDescent="0.25">
      <c r="B1078" s="1" t="str">
        <f>("W00002943")</f>
        <v>W00002943</v>
      </c>
      <c r="C1078" s="1" t="str">
        <f>("Big book of lightweight directory access protocol (LDAP) RFCs / ")</f>
        <v xml:space="preserve">Big book of lightweight directory access protocol (LDAP) RFCs / </v>
      </c>
      <c r="D1078" s="1" t="str">
        <f t="shared" si="39"/>
        <v>4F西文書庫 4F Western Language Books</v>
      </c>
      <c r="E1078" s="1" t="str">
        <f>("TK5105.55 B592 2000")</f>
        <v>TK5105.55 B592 2000</v>
      </c>
    </row>
    <row r="1079" spans="2:10" x14ac:dyDescent="0.25">
      <c r="B1079" s="1" t="str">
        <f>("W00002764")</f>
        <v>W00002764</v>
      </c>
      <c r="C1079" s="1" t="str">
        <f>("TCP/IP network administration /")</f>
        <v>TCP/IP network administration /</v>
      </c>
      <c r="D1079" s="1" t="str">
        <f t="shared" si="39"/>
        <v>4F西文書庫 4F Western Language Books</v>
      </c>
      <c r="E1079" s="1" t="str">
        <f>("TK5105.55 H939 1998")</f>
        <v>TK5105.55 H939 1998</v>
      </c>
    </row>
    <row r="1080" spans="2:10" x14ac:dyDescent="0.25">
      <c r="B1080" s="1" t="str">
        <f>("W00002888")</f>
        <v>W00002888</v>
      </c>
      <c r="C1080" s="1" t="str">
        <f>("Big book of border gateway protocol (BGP) RFCs / ")</f>
        <v xml:space="preserve">Big book of border gateway protocol (BGP) RFCs / </v>
      </c>
      <c r="D1080" s="1" t="str">
        <f t="shared" si="39"/>
        <v>4F西文書庫 4F Western Language Books</v>
      </c>
      <c r="E1080" s="1" t="str">
        <f>("TK5105.55 L879 2000")</f>
        <v>TK5105.55 L879 2000</v>
      </c>
    </row>
    <row r="1081" spans="2:10" x14ac:dyDescent="0.25">
      <c r="B1081" s="1" t="str">
        <f>("W00002647")</f>
        <v>W00002647</v>
      </c>
      <c r="C1081" s="1" t="str">
        <f>("PPP design,implementation,and debugging")</f>
        <v>PPP design,implementation,and debugging</v>
      </c>
      <c r="D1081" s="1" t="str">
        <f t="shared" si="39"/>
        <v>4F西文書庫 4F Western Language Books</v>
      </c>
      <c r="E1081" s="1" t="str">
        <f>("TK5105.582 C278 2000")</f>
        <v>TK5105.582 C278 2000</v>
      </c>
      <c r="G1081" s="1" t="str">
        <f>("xiii, 400 p. : ")</f>
        <v xml:space="preserve">xiii, 400 p. : </v>
      </c>
      <c r="H1081" s="1" t="str">
        <f>("ill. ; ")</f>
        <v xml:space="preserve">ill. ; </v>
      </c>
      <c r="I1081" s="1" t="str">
        <f>("24 cm. + ")</f>
        <v xml:space="preserve">24 cm. + </v>
      </c>
      <c r="J1081" s="1" t="str">
        <f>("1 computer optical disc (4 3/4 in.) ")</f>
        <v xml:space="preserve">1 computer optical disc (4 3/4 in.) </v>
      </c>
    </row>
    <row r="1082" spans="2:10" x14ac:dyDescent="0.25">
      <c r="B1082" s="1" t="str">
        <f>("W00002884")</f>
        <v>W00002884</v>
      </c>
      <c r="C1082" s="1" t="str">
        <f>("DHCP for windows 2000 / ")</f>
        <v xml:space="preserve">DHCP for windows 2000 / </v>
      </c>
      <c r="D1082" s="1" t="str">
        <f t="shared" si="39"/>
        <v>4F西文書庫 4F Western Language Books</v>
      </c>
      <c r="E1082" s="1" t="str">
        <f>("TK5105.585 A355 2001")</f>
        <v>TK5105.585 A355 2001</v>
      </c>
    </row>
    <row r="1083" spans="2:10" x14ac:dyDescent="0.25">
      <c r="B1083" s="1" t="str">
        <f>("W00002716")</f>
        <v>W00002716</v>
      </c>
      <c r="C1083" s="1" t="str">
        <f>("Voice over data networks / ")</f>
        <v xml:space="preserve">Voice over data networks / </v>
      </c>
      <c r="D1083" s="1" t="str">
        <f t="shared" si="39"/>
        <v>4F西文書庫 4F Western Language Books</v>
      </c>
      <c r="E1083" s="1" t="str">
        <f>("TK5105.585 H474 1998")</f>
        <v>TK5105.585 H474 1998</v>
      </c>
    </row>
    <row r="1084" spans="2:10" x14ac:dyDescent="0.25">
      <c r="B1084" s="1" t="str">
        <f>("W00003237")</f>
        <v>W00003237</v>
      </c>
      <c r="C1084" s="1" t="str">
        <f>("Networking with Microsoft TCP/IP /")</f>
        <v>Networking with Microsoft TCP/IP /</v>
      </c>
      <c r="D1084" s="1" t="str">
        <f t="shared" si="39"/>
        <v>4F西文書庫 4F Western Language Books</v>
      </c>
      <c r="E1084" s="1" t="str">
        <f>("TK5105.585 H622 1997")</f>
        <v>TK5105.585 H622 1997</v>
      </c>
    </row>
    <row r="1085" spans="2:10" x14ac:dyDescent="0.25">
      <c r="B1085" s="1" t="str">
        <f>("W00002782")</f>
        <v>W00002782</v>
      </c>
      <c r="C1085" s="1" t="str">
        <f>("Policy routing using Linux / ")</f>
        <v xml:space="preserve">Policy routing using Linux / </v>
      </c>
      <c r="D1085" s="1" t="str">
        <f t="shared" si="39"/>
        <v>4F西文書庫 4F Western Language Books</v>
      </c>
      <c r="E1085" s="1" t="str">
        <f>("TK5105.585 M365 2000")</f>
        <v>TK5105.585 M365 2000</v>
      </c>
    </row>
    <row r="1086" spans="2:10" x14ac:dyDescent="0.25">
      <c r="B1086" s="1" t="str">
        <f>("W00002698")</f>
        <v>W00002698</v>
      </c>
      <c r="C1086" s="1" t="str">
        <f>("Advanced IP routing in Cisco networks / ")</f>
        <v xml:space="preserve">Advanced IP routing in Cisco networks / </v>
      </c>
      <c r="D1086" s="1" t="str">
        <f t="shared" si="39"/>
        <v>4F西文書庫 4F Western Language Books</v>
      </c>
      <c r="E1086" s="1" t="str">
        <f>("TK5105.585 S631 2000")</f>
        <v>TK5105.585 S631 2000</v>
      </c>
    </row>
    <row r="1087" spans="2:10" x14ac:dyDescent="0.25">
      <c r="B1087" s="1" t="str">
        <f>("W00002897")</f>
        <v>W00002897</v>
      </c>
      <c r="C1087" s="1" t="str">
        <f>("Advanced IP routing in Cisco networks / ")</f>
        <v xml:space="preserve">Advanced IP routing in Cisco networks / </v>
      </c>
      <c r="D1087" s="1" t="str">
        <f t="shared" si="39"/>
        <v>4F西文書庫 4F Western Language Books</v>
      </c>
      <c r="E1087" s="1" t="str">
        <f>("TK5105.585 S631-2 1999")</f>
        <v>TK5105.585 S631-2 1999</v>
      </c>
    </row>
    <row r="1088" spans="2:10" x14ac:dyDescent="0.25">
      <c r="B1088" s="1" t="str">
        <f>("W00002870")</f>
        <v>W00002870</v>
      </c>
      <c r="C1088" s="1" t="str">
        <f>("IP routing fundamentals / ")</f>
        <v xml:space="preserve">IP routing fundamentals / </v>
      </c>
      <c r="D1088" s="1" t="str">
        <f t="shared" si="39"/>
        <v>4F西文書庫 4F Western Language Books</v>
      </c>
      <c r="E1088" s="1" t="str">
        <f>("TK5105.585 S732 1999")</f>
        <v>TK5105.585 S732 1999</v>
      </c>
    </row>
    <row r="1089" spans="2:5" x14ac:dyDescent="0.25">
      <c r="B1089" s="1" t="str">
        <f>("W00002862")</f>
        <v>W00002862</v>
      </c>
      <c r="C1089" s="1" t="str">
        <f>("IP routing primer / ")</f>
        <v xml:space="preserve">IP routing primer / </v>
      </c>
      <c r="D1089" s="1" t="str">
        <f t="shared" si="39"/>
        <v>4F西文書庫 4F Western Language Books</v>
      </c>
      <c r="E1089" s="1" t="str">
        <f>("TK5105.585 W947 1998")</f>
        <v>TK5105.585 W947 1998</v>
      </c>
    </row>
    <row r="1090" spans="2:5" x14ac:dyDescent="0.25">
      <c r="B1090" s="1" t="str">
        <f>("W00002760")</f>
        <v>W00002760</v>
      </c>
      <c r="C1090" s="1" t="str">
        <f>("Intrusion detection  ")</f>
        <v xml:space="preserve">Intrusion detection  </v>
      </c>
      <c r="D1090" s="1" t="str">
        <f t="shared" si="39"/>
        <v>4F西文書庫 4F Western Language Books</v>
      </c>
      <c r="E1090" s="1" t="str">
        <f>("TK5105.59 B116 2000")</f>
        <v>TK5105.59 B116 2000</v>
      </c>
    </row>
    <row r="1091" spans="2:5" x14ac:dyDescent="0.25">
      <c r="B1091" s="1" t="str">
        <f>("W00002776")</f>
        <v>W00002776</v>
      </c>
      <c r="C1091" s="1" t="str">
        <f>("Firewalls : a complete guide / ")</f>
        <v xml:space="preserve">Firewalls : a complete guide / </v>
      </c>
      <c r="D1091" s="1" t="str">
        <f t="shared" si="39"/>
        <v>4F西文書庫 4F Western Language Books</v>
      </c>
      <c r="E1091" s="1" t="str">
        <f>("TK5105.59 G635 2000")</f>
        <v>TK5105.59 G635 2000</v>
      </c>
    </row>
    <row r="1092" spans="2:5" x14ac:dyDescent="0.25">
      <c r="B1092" s="1" t="str">
        <f>("W00002925")</f>
        <v>W00002925</v>
      </c>
      <c r="C1092" s="1" t="str">
        <f>("Cisco security architectures / ")</f>
        <v xml:space="preserve">Cisco security architectures / </v>
      </c>
      <c r="D1092" s="1" t="str">
        <f t="shared" si="39"/>
        <v>4F西文書庫 4F Western Language Books</v>
      </c>
      <c r="E1092" s="1" t="str">
        <f>("TK5105.59 H474 1999")</f>
        <v>TK5105.59 H474 1999</v>
      </c>
    </row>
    <row r="1093" spans="2:5" x14ac:dyDescent="0.25">
      <c r="B1093" s="1" t="str">
        <f>("W00002856")</f>
        <v>W00002856</v>
      </c>
      <c r="C1093" s="1" t="str">
        <f>("Cisco access lists field guide / ")</f>
        <v xml:space="preserve">Cisco access lists field guide / </v>
      </c>
      <c r="D1093" s="1" t="str">
        <f t="shared" si="39"/>
        <v>4F西文書庫 4F Western Language Books</v>
      </c>
      <c r="E1093" s="1" t="str">
        <f>("TK5105.59 H474-2 2000")</f>
        <v>TK5105.59 H474-2 2000</v>
      </c>
    </row>
    <row r="1094" spans="2:5" x14ac:dyDescent="0.25">
      <c r="B1094" s="1" t="str">
        <f>("W00002649")</f>
        <v>W00002649</v>
      </c>
      <c r="C1094" s="1" t="str">
        <f>("Designing network security / ")</f>
        <v xml:space="preserve">Designing network security / </v>
      </c>
      <c r="D1094" s="1" t="str">
        <f t="shared" si="39"/>
        <v>4F西文書庫 4F Western Language Books</v>
      </c>
      <c r="E1094" s="1" t="str">
        <f>("TK5105.59 K11 1999")</f>
        <v>TK5105.59 K11 1999</v>
      </c>
    </row>
    <row r="1095" spans="2:5" x14ac:dyDescent="0.25">
      <c r="B1095" s="1" t="str">
        <f>("W00002708")</f>
        <v>W00002708</v>
      </c>
      <c r="C1095" s="1" t="str">
        <f>("Intrusion signatures and analysis / ")</f>
        <v xml:space="preserve">Intrusion signatures and analysis / </v>
      </c>
      <c r="D1095" s="1" t="str">
        <f t="shared" si="39"/>
        <v>4F西文書庫 4F Western Language Books</v>
      </c>
      <c r="E1095" s="1" t="str">
        <f>("TK5105.59 N873 2001")</f>
        <v>TK5105.59 N873 2001</v>
      </c>
    </row>
    <row r="1096" spans="2:5" x14ac:dyDescent="0.25">
      <c r="B1096" s="1" t="str">
        <f>("W00002746")</f>
        <v>W00002746</v>
      </c>
      <c r="C1096" s="1" t="str">
        <f>("Practical firewalls / ")</f>
        <v xml:space="preserve">Practical firewalls / </v>
      </c>
      <c r="D1096" s="1" t="str">
        <f t="shared" si="39"/>
        <v>4F西文書庫 4F Western Language Books</v>
      </c>
      <c r="E1096" s="1" t="str">
        <f>("TK5105.59 O35 2000")</f>
        <v>TK5105.59 O35 2000</v>
      </c>
    </row>
    <row r="1097" spans="2:5" x14ac:dyDescent="0.25">
      <c r="B1097" s="1" t="str">
        <f>("W00002655")</f>
        <v>W00002655</v>
      </c>
      <c r="C1097" s="1" t="str">
        <f>("Building Internet Firewalls : Internet and Web security / ")</f>
        <v xml:space="preserve">Building Internet Firewalls : Internet and Web security / </v>
      </c>
      <c r="D1097" s="1" t="str">
        <f t="shared" si="39"/>
        <v>4F西文書庫 4F Western Language Books</v>
      </c>
      <c r="E1097" s="1" t="str">
        <f>("TK5105.59 Z98 2000")</f>
        <v>TK5105.59 Z98 2000</v>
      </c>
    </row>
    <row r="1098" spans="2:5" x14ac:dyDescent="0.25">
      <c r="B1098" s="1" t="str">
        <f>("W00002628")</f>
        <v>W00002628</v>
      </c>
      <c r="C1098" s="1" t="str">
        <f>("Designing routing and switching architectures for enterprise networks /")</f>
        <v>Designing routing and switching architectures for enterprise networks /</v>
      </c>
      <c r="D1098" s="1" t="str">
        <f t="shared" si="39"/>
        <v>4F西文書庫 4F Western Language Books</v>
      </c>
      <c r="E1098" s="1" t="str">
        <f>("TK5105.595 B512 1999")</f>
        <v>TK5105.595 B512 1999</v>
      </c>
    </row>
    <row r="1099" spans="2:5" x14ac:dyDescent="0.25">
      <c r="B1099" s="1" t="str">
        <f>("W00002887")</f>
        <v>W00002887</v>
      </c>
      <c r="C1099" s="1" t="str">
        <f>("Active directory planning and design / ")</f>
        <v xml:space="preserve">Active directory planning and design / </v>
      </c>
      <c r="D1099" s="1" t="str">
        <f t="shared" si="39"/>
        <v>4F西文書庫 4F Western Language Books</v>
      </c>
      <c r="E1099" s="1" t="str">
        <f>("TK5105.595 B828 2000")</f>
        <v>TK5105.595 B828 2000</v>
      </c>
    </row>
    <row r="1100" spans="2:5" x14ac:dyDescent="0.25">
      <c r="B1100" s="1" t="str">
        <f>("W00002826")</f>
        <v>W00002826</v>
      </c>
      <c r="C1100" s="1" t="str">
        <f>("e-Directories : ")</f>
        <v xml:space="preserve">e-Directories : </v>
      </c>
      <c r="D1100" s="1" t="str">
        <f t="shared" si="39"/>
        <v>4F西文書庫 4F Western Language Books</v>
      </c>
      <c r="E1100" s="1" t="str">
        <f>("TK5105.595 H842 2000")</f>
        <v>TK5105.595 H842 2000</v>
      </c>
    </row>
    <row r="1101" spans="2:5" x14ac:dyDescent="0.25">
      <c r="B1101" s="1" t="str">
        <f>("W00002750")</f>
        <v>W00002750</v>
      </c>
      <c r="C1101" s="1" t="str">
        <f>("Linux DNS server administration / ")</f>
        <v xml:space="preserve">Linux DNS server administration / </v>
      </c>
      <c r="D1101" s="1" t="str">
        <f t="shared" ref="D1101:D1132" si="40">("4F西文書庫 4F Western Language Books")</f>
        <v>4F西文書庫 4F Western Language Books</v>
      </c>
      <c r="E1101" s="1" t="str">
        <f>("TK5105.595 H939 2000")</f>
        <v>TK5105.595 H939 2000</v>
      </c>
    </row>
    <row r="1102" spans="2:5" x14ac:dyDescent="0.25">
      <c r="B1102" s="1" t="str">
        <f>("W00002849")</f>
        <v>W00002849</v>
      </c>
      <c r="C1102" s="1" t="str">
        <f>("Active Directory services for Microsoft Windows 2000 : technical reference : the practical guide to planning and deploying Active Directory services / ")</f>
        <v xml:space="preserve">Active Directory services for Microsoft Windows 2000 : technical reference : the practical guide to planning and deploying Active Directory services / </v>
      </c>
      <c r="D1102" s="1" t="str">
        <f t="shared" si="40"/>
        <v>4F西文書庫 4F Western Language Books</v>
      </c>
      <c r="E1102" s="1" t="str">
        <f>("TK5105.595 I78 2000")</f>
        <v>TK5105.595 I78 2000</v>
      </c>
    </row>
    <row r="1103" spans="2:5" x14ac:dyDescent="0.25">
      <c r="B1103" s="1" t="str">
        <f>("W00002674")</f>
        <v>W00002674</v>
      </c>
      <c r="C1103" s="1" t="str">
        <f>("Understanding directory services / ")</f>
        <v xml:space="preserve">Understanding directory services / </v>
      </c>
      <c r="D1103" s="1" t="str">
        <f t="shared" si="40"/>
        <v>4F西文書庫 4F Western Language Books</v>
      </c>
      <c r="E1103" s="1" t="str">
        <f>("TK5105.595 S551 1999")</f>
        <v>TK5105.595 S551 1999</v>
      </c>
    </row>
    <row r="1104" spans="2:5" x14ac:dyDescent="0.25">
      <c r="B1104" s="1" t="str">
        <f>("W00002937")</f>
        <v>W00002937</v>
      </c>
      <c r="C1104" s="1" t="str">
        <f>("Building enterprise active directory services : notes from the field. ")</f>
        <v xml:space="preserve">Building enterprise active directory services : notes from the field. </v>
      </c>
      <c r="D1104" s="1" t="str">
        <f t="shared" si="40"/>
        <v>4F西文書庫 4F Western Language Books</v>
      </c>
      <c r="E1104" s="1" t="str">
        <f>("TK5105.595 U33 2000")</f>
        <v>TK5105.595 U33 2000</v>
      </c>
    </row>
    <row r="1105" spans="2:5" x14ac:dyDescent="0.25">
      <c r="B1105" s="1" t="str">
        <f>("W00002910")</f>
        <v>W00002910</v>
      </c>
      <c r="C1105" s="1" t="str">
        <f>("Build your own home network /")</f>
        <v>Build your own home network /</v>
      </c>
      <c r="D1105" s="1" t="str">
        <f t="shared" si="40"/>
        <v>4F西文書庫 4F Western Language Books</v>
      </c>
      <c r="E1105" s="1" t="str">
        <f>("TK5105.7 G463 2000")</f>
        <v>TK5105.7 G463 2000</v>
      </c>
    </row>
    <row r="1106" spans="2:5" x14ac:dyDescent="0.25">
      <c r="B1106" s="1" t="str">
        <f>("W00002593")</f>
        <v>W00002593</v>
      </c>
      <c r="C1106" s="1" t="str">
        <f>("Building high-speed networks / ")</f>
        <v xml:space="preserve">Building high-speed networks / </v>
      </c>
      <c r="D1106" s="1" t="str">
        <f t="shared" si="40"/>
        <v>4F西文書庫 4F Western Language Books</v>
      </c>
      <c r="E1106" s="1" t="str">
        <f>("TK5105.7 P256 1999")</f>
        <v>TK5105.7 P256 1999</v>
      </c>
    </row>
    <row r="1107" spans="2:5" x14ac:dyDescent="0.25">
      <c r="B1107" s="1" t="str">
        <f>("W00002918")</f>
        <v>W00002918</v>
      </c>
      <c r="C1107" s="1" t="str">
        <f>("Cisco catalyst LAN switching / ")</f>
        <v xml:space="preserve">Cisco catalyst LAN switching / </v>
      </c>
      <c r="D1107" s="1" t="str">
        <f t="shared" si="40"/>
        <v>4F西文書庫 4F Western Language Books</v>
      </c>
      <c r="E1107" s="1" t="str">
        <f>("TK5105.7 R831 1999")</f>
        <v>TK5105.7 R831 1999</v>
      </c>
    </row>
    <row r="1108" spans="2:5" x14ac:dyDescent="0.25">
      <c r="B1108" s="1" t="str">
        <f>("W00002656")</f>
        <v>W00002656</v>
      </c>
      <c r="C1108" s="1" t="str">
        <f>("sendmail for Linux / ")</f>
        <v xml:space="preserve">sendmail for Linux / </v>
      </c>
      <c r="D1108" s="1" t="str">
        <f t="shared" si="40"/>
        <v>4F西文書庫 4F Western Language Books</v>
      </c>
      <c r="E1108" s="1" t="str">
        <f>("TK5105.73 B658 2000")</f>
        <v>TK5105.73 B658 2000</v>
      </c>
    </row>
    <row r="1109" spans="2:5" x14ac:dyDescent="0.25">
      <c r="B1109" s="1" t="str">
        <f>("W00002809")</f>
        <v>W00002809</v>
      </c>
      <c r="C1109" s="1" t="str">
        <f>("Internet email protocols : a developer's guide / ")</f>
        <v xml:space="preserve">Internet email protocols : a developer's guide / </v>
      </c>
      <c r="D1109" s="1" t="str">
        <f t="shared" si="40"/>
        <v>4F西文書庫 4F Western Language Books</v>
      </c>
      <c r="E1109" s="1" t="str">
        <f>("TK5105.73 J67 2000")</f>
        <v>TK5105.73 J67 2000</v>
      </c>
    </row>
    <row r="1110" spans="2:5" x14ac:dyDescent="0.25">
      <c r="B1110" s="1" t="str">
        <f>("W00002744")</f>
        <v>W00002744</v>
      </c>
      <c r="C1110" s="1" t="str">
        <f>("Programming Internet email / ")</f>
        <v xml:space="preserve">Programming Internet email / </v>
      </c>
      <c r="D1110" s="1" t="str">
        <f t="shared" si="40"/>
        <v>4F西文書庫 4F Western Language Books</v>
      </c>
      <c r="E1110" s="1" t="str">
        <f>("TK5105.73 W874 1999")</f>
        <v>TK5105.73 W874 1999</v>
      </c>
    </row>
    <row r="1111" spans="2:5" x14ac:dyDescent="0.25">
      <c r="B1111" s="1" t="str">
        <f>("W00002737")</f>
        <v>W00002737</v>
      </c>
      <c r="C1111" s="1" t="str">
        <f>("Ethernet : the definitive guide / ")</f>
        <v xml:space="preserve">Ethernet : the definitive guide / </v>
      </c>
      <c r="D1111" s="1" t="str">
        <f t="shared" si="40"/>
        <v>4F西文書庫 4F Western Language Books</v>
      </c>
      <c r="E1111" s="1" t="str">
        <f>("TK5105.8.E83 S762 2000")</f>
        <v>TK5105.8.E83 S762 2000</v>
      </c>
    </row>
    <row r="1112" spans="2:5" x14ac:dyDescent="0.25">
      <c r="B1112" s="1" t="str">
        <f>("W00002607")</f>
        <v>W00002607</v>
      </c>
      <c r="C1112" s="1" t="str">
        <f>("Sams teach yourself HTML and XHTML in 21 days, / ")</f>
        <v xml:space="preserve">Sams teach yourself HTML and XHTML in 21 days, / </v>
      </c>
      <c r="D1112" s="1" t="str">
        <f t="shared" si="40"/>
        <v>4F西文書庫 4F Western Language Books</v>
      </c>
      <c r="E1112" s="1" t="str">
        <f>("TK5105.875.157 L545 2001")</f>
        <v>TK5105.875.157 L545 2001</v>
      </c>
    </row>
    <row r="1113" spans="2:5" x14ac:dyDescent="0.25">
      <c r="B1113" s="1" t="str">
        <f>("W00002725")</f>
        <v>W00002725</v>
      </c>
      <c r="C1113" s="1" t="str">
        <f>("IT manager's guide to virtual private networks / ")</f>
        <v xml:space="preserve">IT manager's guide to virtual private networks / </v>
      </c>
      <c r="D1113" s="1" t="str">
        <f t="shared" si="40"/>
        <v>4F西文書庫 4F Western Language Books</v>
      </c>
      <c r="E1113" s="1" t="str">
        <f>("TK5105.875.E87 C592 1999")</f>
        <v>TK5105.875.E87 C592 1999</v>
      </c>
    </row>
    <row r="1114" spans="2:5" x14ac:dyDescent="0.25">
      <c r="B1114" s="1" t="str">
        <f>("W00002913")</f>
        <v>W00002913</v>
      </c>
      <c r="C1114" s="1" t="str">
        <f>("Creating and implementing virtual private networks / ")</f>
        <v xml:space="preserve">Creating and implementing virtual private networks / </v>
      </c>
      <c r="D1114" s="1" t="str">
        <f t="shared" si="40"/>
        <v>4F西文書庫 4F Western Language Books</v>
      </c>
      <c r="E1114" s="1" t="str">
        <f>("TK5105.875.E87 W747 2000")</f>
        <v>TK5105.875.E87 W747 2000</v>
      </c>
    </row>
    <row r="1115" spans="2:5" x14ac:dyDescent="0.25">
      <c r="B1115" s="1" t="str">
        <f>("W00002689")</f>
        <v>W00002689</v>
      </c>
      <c r="C1115" s="1" t="str">
        <f>("MPLS and label switching networks / ")</f>
        <v xml:space="preserve">MPLS and label switching networks / </v>
      </c>
      <c r="D1115" s="1" t="str">
        <f t="shared" si="40"/>
        <v>4F西文書庫 4F Western Language Books</v>
      </c>
      <c r="E1115" s="1" t="str">
        <f>("TK5105.875.I57 B628 2001")</f>
        <v>TK5105.875.I57 B628 2001</v>
      </c>
    </row>
    <row r="1116" spans="2:5" x14ac:dyDescent="0.25">
      <c r="B1116" s="1" t="str">
        <f>("W00002810")</f>
        <v>W00002810</v>
      </c>
      <c r="C1116" s="1" t="str">
        <f>("Digital certificates : applied Internet security / ")</f>
        <v xml:space="preserve">Digital certificates : applied Internet security / </v>
      </c>
      <c r="D1116" s="1" t="str">
        <f t="shared" si="40"/>
        <v>4F西文書庫 4F Western Language Books</v>
      </c>
      <c r="E1116" s="1" t="str">
        <f>("TK5105.875.I57 F288 1998")</f>
        <v>TK5105.875.I57 F288 1998</v>
      </c>
    </row>
    <row r="1117" spans="2:5" x14ac:dyDescent="0.25">
      <c r="B1117" s="1" t="str">
        <f>("W00002999")</f>
        <v>W00002999</v>
      </c>
      <c r="C1117" s="1" t="str">
        <f>("Internet core protocols :  the definitive guide / ")</f>
        <v xml:space="preserve">Internet core protocols :  the definitive guide / </v>
      </c>
      <c r="D1117" s="1" t="str">
        <f t="shared" si="40"/>
        <v>4F西文書庫 4F Western Language Books</v>
      </c>
      <c r="E1117" s="1" t="str">
        <f>("TK5105.875.I57 H714 2000")</f>
        <v>TK5105.875.I57 H714 2000</v>
      </c>
    </row>
    <row r="1118" spans="2:5" x14ac:dyDescent="0.25">
      <c r="B1118" s="1" t="str">
        <f>("W00002639")</f>
        <v>W00002639</v>
      </c>
      <c r="C1118" s="1" t="str">
        <f>("Internet complete ")</f>
        <v xml:space="preserve">Internet complete </v>
      </c>
      <c r="D1118" s="1" t="str">
        <f t="shared" si="40"/>
        <v>4F西文書庫 4F Western Language Books</v>
      </c>
      <c r="E1118" s="1" t="str">
        <f>("TK5105.875.I57 I61 2000")</f>
        <v>TK5105.875.I57 I61 2000</v>
      </c>
    </row>
    <row r="1119" spans="2:5" x14ac:dyDescent="0.25">
      <c r="B1119" s="1" t="str">
        <f>("W00002879")</f>
        <v>W00002879</v>
      </c>
      <c r="C1119" s="1" t="str">
        <f>("The official America Online Internet guide / ")</f>
        <v xml:space="preserve">The official America Online Internet guide / </v>
      </c>
      <c r="D1119" s="1" t="str">
        <f t="shared" si="40"/>
        <v>4F西文書庫 4F Western Language Books</v>
      </c>
      <c r="E1119" s="1" t="str">
        <f>("TK5105.875.I57 P358 1997")</f>
        <v>TK5105.875.I57 P358 1997</v>
      </c>
    </row>
    <row r="1120" spans="2:5" x14ac:dyDescent="0.25">
      <c r="B1120" s="1" t="str">
        <f>("W00002614")</f>
        <v>W00002614</v>
      </c>
      <c r="C1120" s="1" t="str">
        <f>("The Internet kids &amp; family yellow pages / ")</f>
        <v xml:space="preserve">The Internet kids &amp; family yellow pages / </v>
      </c>
      <c r="D1120" s="1" t="str">
        <f t="shared" si="40"/>
        <v>4F西文書庫 4F Western Language Books</v>
      </c>
      <c r="E1120" s="1" t="str">
        <f>("TK5105.875.I57 P771 2001")</f>
        <v>TK5105.875.I57 P771 2001</v>
      </c>
    </row>
    <row r="1121" spans="2:5" x14ac:dyDescent="0.25">
      <c r="B1121" s="1" t="str">
        <f>("W00002876")</f>
        <v>W00002876</v>
      </c>
      <c r="C1121" s="1" t="str">
        <f>("Virtual private networks / ")</f>
        <v xml:space="preserve">Virtual private networks / </v>
      </c>
      <c r="D1121" s="1" t="str">
        <f t="shared" si="40"/>
        <v>4F西文書庫 4F Western Language Books</v>
      </c>
      <c r="E1121" s="1" t="str">
        <f>("TK5105.875.I57 S425 1999")</f>
        <v>TK5105.875.I57 S425 1999</v>
      </c>
    </row>
    <row r="1122" spans="2:5" x14ac:dyDescent="0.25">
      <c r="B1122" s="1" t="str">
        <f>("W00003257")</f>
        <v>W00003257</v>
      </c>
      <c r="C1122" s="1" t="str">
        <f>("Using Netscape IFC /")</f>
        <v>Using Netscape IFC /</v>
      </c>
      <c r="D1122" s="1" t="str">
        <f t="shared" si="40"/>
        <v>4F西文書庫 4F Western Language Books</v>
      </c>
      <c r="E1122" s="1" t="str">
        <f>("TK5105.883.N48 R215 1997")</f>
        <v>TK5105.883.N48 R215 1997</v>
      </c>
    </row>
    <row r="1123" spans="2:5" x14ac:dyDescent="0.25">
      <c r="B1123" s="1" t="str">
        <f>("W00002944")</f>
        <v>W00002944</v>
      </c>
      <c r="C1123" s="1" t="str">
        <f>("Designing web audio / ")</f>
        <v xml:space="preserve">Designing web audio / </v>
      </c>
      <c r="D1123" s="1" t="str">
        <f t="shared" si="40"/>
        <v>4F西文書庫 4F Western Language Books</v>
      </c>
      <c r="E1123" s="1" t="str">
        <f>("TK5105.8863 B416 2001")</f>
        <v>TK5105.8863 B416 2001</v>
      </c>
    </row>
    <row r="1124" spans="2:5" x14ac:dyDescent="0.25">
      <c r="B1124" s="1" t="str">
        <f>("W00002796")</f>
        <v>W00002796</v>
      </c>
      <c r="C1124" s="1" t="str">
        <f>("Internet telephony :call processing protocols /")</f>
        <v>Internet telephony :call processing protocols /</v>
      </c>
      <c r="D1124" s="1" t="str">
        <f t="shared" si="40"/>
        <v>4F西文書庫 4F Western Language Books</v>
      </c>
      <c r="E1124" s="1" t="str">
        <f>("TK5105.8865 B628 2000")</f>
        <v>TK5105.8865 B628 2000</v>
      </c>
    </row>
    <row r="1125" spans="2:5" x14ac:dyDescent="0.25">
      <c r="B1125" s="1" t="str">
        <f>("W00002906")</f>
        <v>W00002906</v>
      </c>
      <c r="C1125" s="1" t="str">
        <f>("Voice over IP networks / ")</f>
        <v xml:space="preserve">Voice over IP networks / </v>
      </c>
      <c r="D1125" s="1" t="str">
        <f t="shared" si="40"/>
        <v>4F西文書庫 4F Western Language Books</v>
      </c>
      <c r="E1125" s="1" t="str">
        <f>("TK5105.8865 G635 1999")</f>
        <v>TK5105.8865 G635 1999</v>
      </c>
    </row>
    <row r="1126" spans="2:5" x14ac:dyDescent="0.25">
      <c r="B1126" s="1" t="str">
        <f>("W00002721")</f>
        <v>W00002721</v>
      </c>
      <c r="C1126" s="1" t="str">
        <f>("IP telephony  ")</f>
        <v xml:space="preserve">IP telephony  </v>
      </c>
      <c r="D1126" s="1" t="str">
        <f t="shared" si="40"/>
        <v>4F西文書庫 4F Western Language Books</v>
      </c>
      <c r="E1126" s="1" t="str">
        <f>("TK5105.8865 G661 2000")</f>
        <v>TK5105.8865 G661 2000</v>
      </c>
    </row>
    <row r="1127" spans="2:5" x14ac:dyDescent="0.25">
      <c r="B1127" s="1" t="str">
        <f>("W00002808")</f>
        <v>W00002808</v>
      </c>
      <c r="C1127" s="1" t="str">
        <f>("e-Video :  producing Internet video as broadband technologies converge / ")</f>
        <v xml:space="preserve">e-Video :  producing Internet video as broadband technologies converge / </v>
      </c>
      <c r="D1127" s="1" t="str">
        <f t="shared" si="40"/>
        <v>4F西文書庫 4F Western Language Books</v>
      </c>
      <c r="E1127" s="1" t="str">
        <f>("TK5105.887 A372 2000")</f>
        <v>TK5105.887 A372 2000</v>
      </c>
    </row>
    <row r="1128" spans="2:5" x14ac:dyDescent="0.25">
      <c r="B1128" s="1" t="str">
        <f>("W00002653")</f>
        <v>W00002653</v>
      </c>
      <c r="C1128" s="1" t="str">
        <f>("Developing IP multicast networks / ")</f>
        <v xml:space="preserve">Developing IP multicast networks / </v>
      </c>
      <c r="D1128" s="1" t="str">
        <f t="shared" si="40"/>
        <v>4F西文書庫 4F Western Language Books</v>
      </c>
      <c r="E1128" s="1" t="str">
        <f>("TK5105.887 W729 1999")</f>
        <v>TK5105.887 W729 1999</v>
      </c>
    </row>
    <row r="1129" spans="2:5" x14ac:dyDescent="0.25">
      <c r="B1129" s="1" t="str">
        <f>("W00003259")</f>
        <v>W00003259</v>
      </c>
      <c r="C1129" s="1" t="str">
        <f>("Novell's guide to Web site management /")</f>
        <v>Novell's guide to Web site management /</v>
      </c>
      <c r="D1129" s="1" t="str">
        <f t="shared" si="40"/>
        <v>4F西文書庫 4F Western Language Books</v>
      </c>
      <c r="E1129" s="1" t="str">
        <f>("TK5105.888 B787 1998")</f>
        <v>TK5105.888 B787 1998</v>
      </c>
    </row>
    <row r="1130" spans="2:5" x14ac:dyDescent="0.25">
      <c r="B1130" s="1" t="str">
        <f>("W00002804")</f>
        <v>W00002804</v>
      </c>
      <c r="C1130" s="1" t="str">
        <f>("Building web applications with UML / ")</f>
        <v xml:space="preserve">Building web applications with UML / </v>
      </c>
      <c r="D1130" s="1" t="str">
        <f t="shared" si="40"/>
        <v>4F西文書庫 4F Western Language Books</v>
      </c>
      <c r="E1130" s="1" t="str">
        <f>("TK5105.888 C743 1999")</f>
        <v>TK5105.888 C743 1999</v>
      </c>
    </row>
    <row r="1131" spans="2:5" x14ac:dyDescent="0.25">
      <c r="B1131" s="1" t="str">
        <f>("W00003260")</f>
        <v>W00003260</v>
      </c>
      <c r="C1131" s="1" t="str">
        <f>("Windows NT 4 Web development /")</f>
        <v>Windows NT 4 Web development /</v>
      </c>
      <c r="D1131" s="1" t="str">
        <f t="shared" si="40"/>
        <v>4F西文書庫 4F Western Language Books</v>
      </c>
      <c r="E1131" s="1" t="str">
        <f>("TK5105.888 H591 1996")</f>
        <v>TK5105.888 H591 1996</v>
      </c>
    </row>
    <row r="1132" spans="2:5" x14ac:dyDescent="0.25">
      <c r="B1132" s="1" t="str">
        <f>("W00002878")</f>
        <v>W00002878</v>
      </c>
      <c r="C1132" s="1" t="str">
        <f>("Web performance tuning / ")</f>
        <v xml:space="preserve">Web performance tuning / </v>
      </c>
      <c r="D1132" s="1" t="str">
        <f t="shared" si="40"/>
        <v>4F西文書庫 4F Western Language Books</v>
      </c>
      <c r="E1132" s="1" t="str">
        <f>("TK5105.888 K48 1998")</f>
        <v>TK5105.888 K48 1998</v>
      </c>
    </row>
    <row r="1133" spans="2:5" x14ac:dyDescent="0.25">
      <c r="B1133" s="1" t="str">
        <f>("W00003258")</f>
        <v>W00003258</v>
      </c>
      <c r="C1133" s="1" t="str">
        <f>("VRML :browsing &amp; building cyberspace /")</f>
        <v>VRML :browsing &amp; building cyberspace /</v>
      </c>
      <c r="D1133" s="1" t="str">
        <f t="shared" ref="D1133:D1159" si="41">("4F西文書庫 4F Western Language Books")</f>
        <v>4F西文書庫 4F Western Language Books</v>
      </c>
      <c r="E1133" s="1" t="str">
        <f>("TK5105.888 P473 1995")</f>
        <v>TK5105.888 P473 1995</v>
      </c>
    </row>
    <row r="1134" spans="2:5" x14ac:dyDescent="0.25">
      <c r="B1134" s="1" t="str">
        <f>("W00002732")</f>
        <v>W00002732</v>
      </c>
      <c r="C1134" s="1" t="str">
        <f>("Web application development with PHP 4.0 / ")</f>
        <v xml:space="preserve">Web application development with PHP 4.0 / </v>
      </c>
      <c r="D1134" s="1" t="str">
        <f t="shared" si="41"/>
        <v>4F西文書庫 4F Western Language Books</v>
      </c>
      <c r="E1134" s="1" t="str">
        <f>("TK5105.888 R232 2000")</f>
        <v>TK5105.888 R232 2000</v>
      </c>
    </row>
    <row r="1135" spans="2:5" x14ac:dyDescent="0.25">
      <c r="B1135" s="1" t="str">
        <f>("W00002923")</f>
        <v>W00002923</v>
      </c>
      <c r="C1135" s="1" t="str">
        <f>("Core CSS  ")</f>
        <v xml:space="preserve">Core CSS  </v>
      </c>
      <c r="D1135" s="1" t="str">
        <f t="shared" si="41"/>
        <v>4F西文書庫 4F Western Language Books</v>
      </c>
      <c r="E1135" s="1" t="str">
        <f>("TK5105.888 S324 2000")</f>
        <v>TK5105.888 S324 2000</v>
      </c>
    </row>
    <row r="1136" spans="2:5" x14ac:dyDescent="0.25">
      <c r="B1136" s="1" t="str">
        <f>("W00003098")</f>
        <v>W00003098</v>
      </c>
      <c r="C1136" s="1" t="str">
        <f>("Web pages the smart way :a painless guide to creating and posting your own Website /")</f>
        <v>Web pages the smart way :a painless guide to creating and posting your own Website /</v>
      </c>
      <c r="D1136" s="1" t="str">
        <f t="shared" si="41"/>
        <v>4F西文書庫 4F Western Language Books</v>
      </c>
      <c r="E1136" s="1" t="str">
        <f>("TK5105.888 S616 2001")</f>
        <v>TK5105.888 S616 2001</v>
      </c>
    </row>
    <row r="1137" spans="2:5" x14ac:dyDescent="0.25">
      <c r="B1137" s="1" t="str">
        <f>("W00002645")</f>
        <v>W00002645</v>
      </c>
      <c r="C1137" s="1" t="str">
        <f>("Domino 5 Web programming with XML, Java, and JavaScript / ")</f>
        <v xml:space="preserve">Domino 5 Web programming with XML, Java, and JavaScript / </v>
      </c>
      <c r="D1137" s="1" t="str">
        <f t="shared" si="41"/>
        <v>4F西文書庫 4F Western Language Books</v>
      </c>
      <c r="E1137" s="1" t="str">
        <f>("TK5105.888 T153 2000")</f>
        <v>TK5105.888 T153 2000</v>
      </c>
    </row>
    <row r="1138" spans="2:5" x14ac:dyDescent="0.25">
      <c r="B1138" s="1" t="str">
        <f>("W00002889")</f>
        <v>W00002889</v>
      </c>
      <c r="C1138" s="1" t="str">
        <f>("Linux Apache Web server administration (Craig Hunt Linux Library) / ")</f>
        <v xml:space="preserve">Linux Apache Web server administration (Craig Hunt Linux Library) / </v>
      </c>
      <c r="D1138" s="1" t="str">
        <f t="shared" si="41"/>
        <v>4F西文書庫 4F Western Language Books</v>
      </c>
      <c r="E1138" s="1" t="str">
        <f>("TK5105.8885 A924 2000")</f>
        <v>TK5105.8885 A924 2000</v>
      </c>
    </row>
    <row r="1139" spans="2:5" x14ac:dyDescent="0.25">
      <c r="B1139" s="1" t="str">
        <f>("W00002898")</f>
        <v>W00002898</v>
      </c>
      <c r="C1139" s="1" t="str">
        <f>("Sendmail ")</f>
        <v xml:space="preserve">Sendmail </v>
      </c>
      <c r="D1139" s="1" t="str">
        <f t="shared" si="41"/>
        <v>4F西文書庫 4F Western Language Books</v>
      </c>
      <c r="E1139" s="1" t="str">
        <f>("TK5105.8885 C838 1997")</f>
        <v>TK5105.8885 C838 1997</v>
      </c>
    </row>
    <row r="1140" spans="2:5" x14ac:dyDescent="0.25">
      <c r="B1140" s="1" t="str">
        <f>("W00002699")</f>
        <v>W00002699</v>
      </c>
      <c r="C1140" s="1" t="str">
        <f>("Mod_perl pocket reference / ")</f>
        <v xml:space="preserve">Mod_perl pocket reference / </v>
      </c>
      <c r="D1140" s="1" t="str">
        <f t="shared" si="41"/>
        <v>4F西文書庫 4F Western Language Books</v>
      </c>
      <c r="E1140" s="1" t="str">
        <f>("TK5105.8885 F699 2001")</f>
        <v>TK5105.8885 F699 2001</v>
      </c>
    </row>
    <row r="1141" spans="2:5" x14ac:dyDescent="0.25">
      <c r="B1141" s="1" t="str">
        <f>("W00002762")</f>
        <v>W00002762</v>
      </c>
      <c r="C1141" s="1" t="str">
        <f>("Mastering sql server 2000 / ")</f>
        <v xml:space="preserve">Mastering sql server 2000 / </v>
      </c>
      <c r="D1141" s="1" t="str">
        <f t="shared" si="41"/>
        <v>4F西文書庫 4F Western Language Books</v>
      </c>
      <c r="E1141" s="1" t="str">
        <f>("TK5105.8885 G975 2000")</f>
        <v>TK5105.8885 G975 2000</v>
      </c>
    </row>
    <row r="1142" spans="2:5" x14ac:dyDescent="0.25">
      <c r="B1142" s="1" t="str">
        <f>("W00002780")</f>
        <v>W00002780</v>
      </c>
      <c r="C1142" s="1" t="str">
        <f>("Oracle SQL high-performance tuning / ")</f>
        <v xml:space="preserve">Oracle SQL high-performance tuning / </v>
      </c>
      <c r="D1142" s="1" t="str">
        <f t="shared" si="41"/>
        <v>4F西文書庫 4F Western Language Books</v>
      </c>
      <c r="E1142" s="1" t="str">
        <f>("TK5105.8885 H318 2001")</f>
        <v>TK5105.8885 H318 2001</v>
      </c>
    </row>
    <row r="1143" spans="2:5" x14ac:dyDescent="0.25">
      <c r="B1143" s="1" t="str">
        <f>("W00002919")</f>
        <v>W00002919</v>
      </c>
      <c r="C1143" s="1" t="str">
        <f>("Big book of Internet file transfer RFCs / ")</f>
        <v xml:space="preserve">Big book of Internet file transfer RFCs / </v>
      </c>
      <c r="D1143" s="1" t="str">
        <f t="shared" si="41"/>
        <v>4F西文書庫 4F Western Language Books</v>
      </c>
      <c r="E1143" s="1" t="str">
        <f>("TK5105.8885 L879 2000")</f>
        <v>TK5105.8885 L879 2000</v>
      </c>
    </row>
    <row r="1144" spans="2:5" x14ac:dyDescent="0.25">
      <c r="B1144" s="1" t="str">
        <f>("W00002931")</f>
        <v>W00002931</v>
      </c>
      <c r="C1144" s="1" t="str">
        <f>("Big book of Internet host standards / ")</f>
        <v xml:space="preserve">Big book of Internet host standards / </v>
      </c>
      <c r="D1144" s="1" t="str">
        <f t="shared" si="41"/>
        <v>4F西文書庫 4F Western Language Books</v>
      </c>
      <c r="E1144" s="1" t="str">
        <f>("TK5105.8885 L879-2 2000")</f>
        <v>TK5105.8885 L879-2 2000</v>
      </c>
    </row>
    <row r="1145" spans="2:5" x14ac:dyDescent="0.25">
      <c r="B1145" s="1" t="str">
        <f>("W00002901")</f>
        <v>W00002901</v>
      </c>
      <c r="C1145" s="1" t="str">
        <f>("XML by example  ")</f>
        <v xml:space="preserve">XML by example  </v>
      </c>
      <c r="D1145" s="1" t="str">
        <f t="shared" si="41"/>
        <v>4F西文書庫 4F Western Language Books</v>
      </c>
      <c r="E1145" s="1" t="str">
        <f>("TK5105.8885 M315 2000")</f>
        <v>TK5105.8885 M315 2000</v>
      </c>
    </row>
    <row r="1146" spans="2:5" x14ac:dyDescent="0.25">
      <c r="B1146" s="1" t="str">
        <f>("W00002929")</f>
        <v>W00002929</v>
      </c>
      <c r="C1146" s="1" t="str">
        <f>("Making UNIX and windows NT talk/ ")</f>
        <v xml:space="preserve">Making UNIX and windows NT talk/ </v>
      </c>
      <c r="D1146" s="1" t="str">
        <f t="shared" si="41"/>
        <v>4F西文書庫 4F Western Language Books</v>
      </c>
      <c r="E1146" s="1" t="str">
        <f>("TK5105.8885 N134 2000")</f>
        <v>TK5105.8885 N134 2000</v>
      </c>
    </row>
    <row r="1147" spans="2:5" x14ac:dyDescent="0.25">
      <c r="B1147" s="1" t="str">
        <f>("W00002851")</f>
        <v>W00002851</v>
      </c>
      <c r="C1147" s="1" t="str">
        <f>("Debugging C++ : troubleshooting for programmers / ")</f>
        <v xml:space="preserve">Debugging C++ : troubleshooting for programmers / </v>
      </c>
      <c r="D1147" s="1" t="str">
        <f t="shared" si="41"/>
        <v>4F西文書庫 4F Western Language Books</v>
      </c>
      <c r="E1147" s="1" t="str">
        <f>("TK5105.8885 P213 2000")</f>
        <v>TK5105.8885 P213 2000</v>
      </c>
    </row>
    <row r="1148" spans="2:5" x14ac:dyDescent="0.25">
      <c r="B1148" s="1" t="str">
        <f>("W00002774")</f>
        <v>W00002774</v>
      </c>
      <c r="C1148" s="1" t="str">
        <f>("Developing ASP components / ")</f>
        <v xml:space="preserve">Developing ASP components / </v>
      </c>
      <c r="D1148" s="1" t="str">
        <f t="shared" si="41"/>
        <v>4F西文書庫 4F Western Language Books</v>
      </c>
      <c r="E1148" s="1" t="str">
        <f>("TK5105.8885 P888 1999")</f>
        <v>TK5105.8885 P888 1999</v>
      </c>
    </row>
    <row r="1149" spans="2:5" x14ac:dyDescent="0.25">
      <c r="B1149" s="1" t="str">
        <f>("W00002779")</f>
        <v>W00002779</v>
      </c>
      <c r="C1149" s="1" t="str">
        <f>("The X Resource Issue Seventeen")</f>
        <v>The X Resource Issue Seventeen</v>
      </c>
      <c r="D1149" s="1" t="str">
        <f t="shared" si="41"/>
        <v>4F西文書庫 4F Western Language Books</v>
      </c>
      <c r="E1149" s="1" t="str">
        <f>("TK5105.8885 S194 2000")</f>
        <v>TK5105.8885 S194 2000</v>
      </c>
    </row>
    <row r="1150" spans="2:5" x14ac:dyDescent="0.25">
      <c r="B1150" s="1" t="str">
        <f>("W00002765")</f>
        <v>W00002765</v>
      </c>
      <c r="C1150" s="1" t="str">
        <f>("Instant JavaServer pages / ")</f>
        <v xml:space="preserve">Instant JavaServer pages / </v>
      </c>
      <c r="D1150" s="1" t="str">
        <f t="shared" si="41"/>
        <v>4F西文書庫 4F Western Language Books</v>
      </c>
      <c r="E1150" s="1" t="str">
        <f>("TK5105.8885 T789 2000")</f>
        <v>TK5105.8885 T789 2000</v>
      </c>
    </row>
    <row r="1151" spans="2:5" x14ac:dyDescent="0.25">
      <c r="B1151" s="1" t="str">
        <f>("W00002869")</f>
        <v>W00002869</v>
      </c>
      <c r="C1151" s="1" t="str">
        <f>("IP quality of service / ")</f>
        <v xml:space="preserve">IP quality of service / </v>
      </c>
      <c r="D1151" s="1" t="str">
        <f t="shared" si="41"/>
        <v>4F西文書庫 4F Western Language Books</v>
      </c>
      <c r="E1151" s="1" t="str">
        <f>("TK5105.8885 V422 2001")</f>
        <v>TK5105.8885 V422 2001</v>
      </c>
    </row>
    <row r="1152" spans="2:5" x14ac:dyDescent="0.25">
      <c r="B1152" s="1" t="str">
        <f>("W00002618")</f>
        <v>W00002618</v>
      </c>
      <c r="C1152" s="1" t="str">
        <f>("Sams teach yourself Visual Interdev 6 in 24 hours./")</f>
        <v>Sams teach yourself Visual Interdev 6 in 24 hours./</v>
      </c>
      <c r="D1152" s="1" t="str">
        <f t="shared" si="41"/>
        <v>4F西文書庫 4F Western Language Books</v>
      </c>
      <c r="E1152" s="1" t="str">
        <f>("TK5105.8885.A26 A671 1999")</f>
        <v>TK5105.8885.A26 A671 1999</v>
      </c>
    </row>
    <row r="1153" spans="2:9" x14ac:dyDescent="0.25">
      <c r="B1153" s="1" t="str">
        <f>("W00002747")</f>
        <v>W00002747</v>
      </c>
      <c r="C1153" s="1" t="str">
        <f>("Designing Active Server pages / ")</f>
        <v xml:space="preserve">Designing Active Server pages / </v>
      </c>
      <c r="D1153" s="1" t="str">
        <f t="shared" si="41"/>
        <v>4F西文書庫 4F Western Language Books</v>
      </c>
      <c r="E1153" s="1" t="str">
        <f>("TK5105.8885.A26 M681 2000")</f>
        <v>TK5105.8885.A26 M681 2000</v>
      </c>
    </row>
    <row r="1154" spans="2:9" x14ac:dyDescent="0.25">
      <c r="B1154" s="1" t="str">
        <f>("W00002617")</f>
        <v>W00002617</v>
      </c>
      <c r="C1154" s="1" t="str">
        <f>("Sams teach yourself Active Server Pages in 24 hours. ")</f>
        <v xml:space="preserve">Sams teach yourself Active Server Pages in 24 hours. </v>
      </c>
      <c r="D1154" s="1" t="str">
        <f t="shared" si="41"/>
        <v>4F西文書庫 4F Western Language Books</v>
      </c>
      <c r="E1154" s="1" t="str">
        <f>("TK5105.8885.A26 W698 1999")</f>
        <v>TK5105.8885.A26 W698 1999</v>
      </c>
      <c r="F1154" s="1" t="str">
        <f>("光碟片1片+1小冊子")</f>
        <v>光碟片1片+1小冊子</v>
      </c>
    </row>
    <row r="1155" spans="2:9" x14ac:dyDescent="0.25">
      <c r="B1155" s="1" t="str">
        <f>("W00002627")</f>
        <v>W00002627</v>
      </c>
      <c r="C1155" s="1" t="str">
        <f>("Apache Server unleashed / ")</f>
        <v xml:space="preserve">Apache Server unleashed / </v>
      </c>
      <c r="D1155" s="1" t="str">
        <f t="shared" si="41"/>
        <v>4F西文書庫 4F Western Language Books</v>
      </c>
      <c r="E1155" s="1" t="str">
        <f>("TK5105.8885.A3 B786 2000")</f>
        <v>TK5105.8885.A3 B786 2000</v>
      </c>
    </row>
    <row r="1156" spans="2:9" x14ac:dyDescent="0.25">
      <c r="B1156" s="1" t="str">
        <f>("W00002602")</f>
        <v>W00002602</v>
      </c>
      <c r="C1156" s="1" t="str">
        <f>("Adobe GoLive 4 bible / ")</f>
        <v xml:space="preserve">Adobe GoLive 4 bible / </v>
      </c>
      <c r="D1156" s="1" t="str">
        <f t="shared" si="41"/>
        <v>4F西文書庫 4F Western Language Books</v>
      </c>
      <c r="E1156" s="1" t="str">
        <f>("TK5105.8885.A34 S524 2001")</f>
        <v>TK5105.8885.A34 S524 2001</v>
      </c>
    </row>
    <row r="1157" spans="2:9" x14ac:dyDescent="0.25">
      <c r="B1157" s="1" t="str">
        <f>("W00002661")</f>
        <v>W00002661</v>
      </c>
      <c r="C1157" s="1" t="str">
        <f>("Apache desktop reference / ")</f>
        <v xml:space="preserve">Apache desktop reference / </v>
      </c>
      <c r="D1157" s="1" t="str">
        <f t="shared" si="41"/>
        <v>4F西文書庫 4F Western Language Books</v>
      </c>
      <c r="E1157" s="1" t="str">
        <f>("TK5105.8885.A63 E57 2001")</f>
        <v>TK5105.8885.A63 E57 2001</v>
      </c>
    </row>
    <row r="1158" spans="2:9" x14ac:dyDescent="0.25">
      <c r="B1158" s="1" t="str">
        <f>("W00002700")</f>
        <v>W00002700</v>
      </c>
      <c r="C1158" s="1" t="str">
        <f>("Apache pocket reference / ")</f>
        <v xml:space="preserve">Apache pocket reference / </v>
      </c>
      <c r="D1158" s="1" t="str">
        <f t="shared" si="41"/>
        <v>4F西文書庫 4F Western Language Books</v>
      </c>
      <c r="E1158" s="1" t="str">
        <f>("TK5105.8885.A63 F699 2000")</f>
        <v>TK5105.8885.A63 F699 2000</v>
      </c>
    </row>
    <row r="1159" spans="2:9" x14ac:dyDescent="0.25">
      <c r="B1159" s="1" t="str">
        <f>("W00002704")</f>
        <v>W00002704</v>
      </c>
      <c r="C1159" s="1" t="str">
        <f>("Building interactive entertainment and E-commerce content for Microsoft TV / ")</f>
        <v xml:space="preserve">Building interactive entertainment and E-commerce content for Microsoft TV / </v>
      </c>
      <c r="D1159" s="1" t="str">
        <f t="shared" si="41"/>
        <v>4F西文書庫 4F Western Language Books</v>
      </c>
      <c r="E1159" s="1" t="str">
        <f>("TK5105.8885.M545 K92 2000")</f>
        <v>TK5105.8885.M545 K92 2000</v>
      </c>
    </row>
    <row r="1160" spans="2:9" x14ac:dyDescent="0.25">
      <c r="B1160" s="1" t="str">
        <f>("W00003251")</f>
        <v>W00003251</v>
      </c>
      <c r="C1160" s="1" t="str">
        <f>("Microsoft Visual InterDev 6.0 :programmer's guide.")</f>
        <v>Microsoft Visual InterDev 6.0 :programmer's guide.</v>
      </c>
      <c r="D1160" s="1" t="str">
        <f>("罕用書庫1-洽櫃台填單 Upon-Request Collection1 fil")</f>
        <v>罕用書庫1-洽櫃台填單 Upon-Request Collection1 fil</v>
      </c>
      <c r="E1160" s="1" t="str">
        <f>("TK5105.8885.M55 M626 1998")</f>
        <v>TK5105.8885.M55 M626 1998</v>
      </c>
      <c r="G1160" s="1" t="str">
        <f>("xxii, 480 p. :")</f>
        <v>xxii, 480 p. :</v>
      </c>
      <c r="H1160" s="1" t="str">
        <f>("ill. ;")</f>
        <v>ill. ;</v>
      </c>
      <c r="I1160" s="1" t="str">
        <f>("23 cm.")</f>
        <v>23 cm.</v>
      </c>
    </row>
    <row r="1161" spans="2:9" x14ac:dyDescent="0.25">
      <c r="B1161" s="1" t="str">
        <f>("W00002946")</f>
        <v>W00002946</v>
      </c>
      <c r="C1161" s="1" t="str">
        <f>("Big book of terminal emulation RFCs / ")</f>
        <v xml:space="preserve">Big book of terminal emulation RFCs / </v>
      </c>
      <c r="D1161" s="1" t="str">
        <f t="shared" ref="D1161:D1194" si="42">("4F西文書庫 4F Western Language Books")</f>
        <v>4F西文書庫 4F Western Language Books</v>
      </c>
      <c r="E1161" s="1" t="str">
        <f>("TK5105.9 B592 2000")</f>
        <v>TK5105.9 B592 2000</v>
      </c>
    </row>
    <row r="1162" spans="2:9" x14ac:dyDescent="0.25">
      <c r="B1162" s="1" t="str">
        <f>("W00002983")</f>
        <v>W00002983</v>
      </c>
      <c r="C1162" s="1" t="str">
        <f>("The Telephony Tutorials: A practical guide for managing business telecommunications resources/ ")</f>
        <v xml:space="preserve">The Telephony Tutorials: A practical guide for managing business telecommunications resources/ </v>
      </c>
      <c r="D1162" s="1" t="str">
        <f t="shared" si="42"/>
        <v>4F西文書庫 4F Western Language Books</v>
      </c>
      <c r="E1162" s="1" t="str">
        <f>("TK6161 L186 2000")</f>
        <v>TK6161 L186 2000</v>
      </c>
    </row>
    <row r="1163" spans="2:9" x14ac:dyDescent="0.25">
      <c r="B1163" s="1" t="str">
        <f>("W00002933")</f>
        <v>W00002933</v>
      </c>
      <c r="C1163" s="1" t="str">
        <f>("Introduction to telephony")</f>
        <v>Introduction to telephony</v>
      </c>
      <c r="D1163" s="1" t="str">
        <f t="shared" si="42"/>
        <v>4F西文書庫 4F Western Language Books</v>
      </c>
      <c r="E1163" s="1" t="str">
        <f>("TK6401 L168 1999")</f>
        <v>TK6401 L168 1999</v>
      </c>
      <c r="G1163" s="1" t="str">
        <f>("xvii, 330 p. :")</f>
        <v>xvii, 330 p. :</v>
      </c>
      <c r="H1163" s="1" t="str">
        <f>("ill. ;")</f>
        <v>ill. ;</v>
      </c>
      <c r="I1163" s="1" t="str">
        <f>("24 cm ")</f>
        <v xml:space="preserve">24 cm </v>
      </c>
    </row>
    <row r="1164" spans="2:9" x14ac:dyDescent="0.25">
      <c r="B1164" s="1" t="str">
        <f>("W00003264")</f>
        <v>W00003264</v>
      </c>
      <c r="C1164" s="1" t="str">
        <f>("ATM &amp; MPEG-2 :integrating digital video into broadband networks /")</f>
        <v>ATM &amp; MPEG-2 :integrating digital video into broadband networks /</v>
      </c>
      <c r="D1164" s="1" t="str">
        <f t="shared" si="42"/>
        <v>4F西文書庫 4F Western Language Books</v>
      </c>
      <c r="E1164" s="1" t="str">
        <f>("TK6678 O79 1998")</f>
        <v>TK6678 O79 1998</v>
      </c>
      <c r="G1164" s="1" t="str">
        <f>("xxvi, 326 p. :")</f>
        <v>xxvi, 326 p. :</v>
      </c>
      <c r="H1164" s="1" t="str">
        <f>("ill. ;")</f>
        <v>ill. ;</v>
      </c>
      <c r="I1164" s="1" t="str">
        <f>("24 cm.")</f>
        <v>24 cm.</v>
      </c>
    </row>
    <row r="1165" spans="2:9" x14ac:dyDescent="0.25">
      <c r="B1165" s="1" t="str">
        <f>("W00002450")</f>
        <v>W00002450</v>
      </c>
      <c r="C1165" s="1" t="str">
        <f>("Electronic commerce and the law/ ")</f>
        <v xml:space="preserve">Electronic commerce and the law/ </v>
      </c>
      <c r="D1165" s="1" t="str">
        <f t="shared" si="42"/>
        <v>4F西文書庫 4F Western Language Books</v>
      </c>
      <c r="E1165" s="1" t="str">
        <f>("TK787 F699 2001")</f>
        <v>TK787 F699 2001</v>
      </c>
    </row>
    <row r="1166" spans="2:9" x14ac:dyDescent="0.25">
      <c r="B1166" s="1" t="str">
        <f>("W00002907")</f>
        <v>W00002907</v>
      </c>
      <c r="C1166" s="1" t="str">
        <f>("Windows telephony programming : a developer's guide to TAPI / ")</f>
        <v xml:space="preserve">Windows telephony programming : a developer's guide to TAPI / </v>
      </c>
      <c r="D1166" s="1" t="str">
        <f t="shared" si="42"/>
        <v>4F西文書庫 4F Western Language Books</v>
      </c>
      <c r="E1166" s="1" t="str">
        <f>("TK7887.5 S467 1998")</f>
        <v>TK7887.5 S467 1998</v>
      </c>
    </row>
    <row r="1167" spans="2:9" x14ac:dyDescent="0.25">
      <c r="B1167" s="1" t="str">
        <f>("W00002761")</f>
        <v>W00002761</v>
      </c>
      <c r="C1167" s="1" t="str">
        <f>("Build your own PC / ")</f>
        <v xml:space="preserve">Build your own PC / </v>
      </c>
      <c r="D1167" s="1" t="str">
        <f t="shared" si="42"/>
        <v>4F西文書庫 4F Western Language Books</v>
      </c>
      <c r="E1167" s="1" t="str">
        <f>("TK7888.3 R813 2000")</f>
        <v>TK7888.3 R813 2000</v>
      </c>
    </row>
    <row r="1168" spans="2:9" x14ac:dyDescent="0.25">
      <c r="B1168" s="1" t="str">
        <f>("W00002680")</f>
        <v>W00002680</v>
      </c>
      <c r="C1168" s="1" t="str">
        <f>("Digital audio processing/ ")</f>
        <v xml:space="preserve">Digital audio processing/ </v>
      </c>
      <c r="D1168" s="1" t="str">
        <f t="shared" si="42"/>
        <v>4F西文書庫 4F Western Language Books</v>
      </c>
      <c r="E1168" s="1" t="str">
        <f>("TK7888.5 C855 2000")</f>
        <v>TK7888.5 C855 2000</v>
      </c>
    </row>
    <row r="1169" spans="2:10" x14ac:dyDescent="0.25">
      <c r="B1169" s="1" t="str">
        <f>("W00002668")</f>
        <v>W00002668</v>
      </c>
      <c r="C1169" s="1" t="str">
        <f>("Flow design for embedded systemsa radical new unified object-oriented methodology /")</f>
        <v>Flow design for embedded systemsa radical new unified object-oriented methodology /</v>
      </c>
      <c r="D1169" s="1" t="str">
        <f t="shared" si="42"/>
        <v>4F西文書庫 4F Western Language Books</v>
      </c>
      <c r="E1169" s="1" t="str">
        <f>("TK7895 K21 1999")</f>
        <v>TK7895 K21 1999</v>
      </c>
      <c r="G1169" s="1" t="str">
        <f>("x, 275 p. :")</f>
        <v>x, 275 p. :</v>
      </c>
      <c r="H1169" s="1" t="str">
        <f>("ill. ;")</f>
        <v>ill. ;</v>
      </c>
      <c r="I1169" s="1" t="str">
        <f>("23 cm. +")</f>
        <v>23 cm. +</v>
      </c>
      <c r="J1169" s="1" t="str">
        <f>("1 computer disc (3 1/2 in.)")</f>
        <v>1 computer disc (3 1/2 in.)</v>
      </c>
    </row>
    <row r="1170" spans="2:10" x14ac:dyDescent="0.25">
      <c r="B1170" s="1" t="str">
        <f>("W00002757")</f>
        <v>W00002757</v>
      </c>
      <c r="C1170" s="1" t="str">
        <f>("Programming embedded systems in C and C++ / ")</f>
        <v xml:space="preserve">Programming embedded systems in C and C++ / </v>
      </c>
      <c r="D1170" s="1" t="str">
        <f t="shared" si="42"/>
        <v>4F西文書庫 4F Western Language Books</v>
      </c>
      <c r="E1170" s="1" t="str">
        <f>("TK7895.E42 B268 1999")</f>
        <v>TK7895.E42 B268 1999</v>
      </c>
    </row>
    <row r="1171" spans="2:10" x14ac:dyDescent="0.25">
      <c r="B1171" s="1" t="str">
        <f>("W00002516")</f>
        <v>W00002516</v>
      </c>
      <c r="C1171" s="1" t="str">
        <f>("Annual of ad productions in Japan 2001")</f>
        <v>Annual of ad productions in Japan 2001</v>
      </c>
      <c r="D1171" s="1" t="str">
        <f t="shared" si="42"/>
        <v>4F西文書庫 4F Western Language Books</v>
      </c>
      <c r="E1171" s="1" t="str">
        <f>("TN29.B6 A613 2001")</f>
        <v>TN29.B6 A613 2001</v>
      </c>
    </row>
    <row r="1172" spans="2:10" x14ac:dyDescent="0.25">
      <c r="B1172" s="1" t="str">
        <f>("W00002945")</f>
        <v>W00002945</v>
      </c>
      <c r="C1172" s="1" t="str">
        <f>("Digital photography bible / ")</f>
        <v xml:space="preserve">Digital photography bible / </v>
      </c>
      <c r="D1172" s="1" t="str">
        <f t="shared" si="42"/>
        <v>4F西文書庫 4F Western Language Books</v>
      </c>
      <c r="E1172" s="1" t="str">
        <f>("TR267 M638 2000")</f>
        <v>TR267 M638 2000</v>
      </c>
    </row>
    <row r="1173" spans="2:10" x14ac:dyDescent="0.25">
      <c r="B1173" s="1" t="str">
        <f>("W00002435")</f>
        <v>W00002435</v>
      </c>
      <c r="C1173" s="1" t="str">
        <f>("E-Business and ERP : transforming the enterprise / ")</f>
        <v xml:space="preserve">E-Business and ERP : transforming the enterprise / </v>
      </c>
      <c r="D1173" s="1" t="str">
        <f t="shared" si="42"/>
        <v>4F西文書庫 4F Western Language Books</v>
      </c>
      <c r="E1173" s="1" t="str">
        <f>("TS155 N854 2000")</f>
        <v>TS155 N854 2000</v>
      </c>
    </row>
    <row r="1174" spans="2:10" x14ac:dyDescent="0.25">
      <c r="B1174" s="1" t="str">
        <f>("W00003086")</f>
        <v>W00003086</v>
      </c>
      <c r="C1174" s="1" t="str">
        <f>("Manufacturer's guide to implementing the theory of constraints /")</f>
        <v>Manufacturer's guide to implementing the theory of constraints /</v>
      </c>
      <c r="D1174" s="1" t="str">
        <f t="shared" si="42"/>
        <v>4F西文書庫 4F Western Language Books</v>
      </c>
      <c r="E1174" s="1" t="str">
        <f>("TS155 W842 2001")</f>
        <v>TS155 W842 2001</v>
      </c>
    </row>
    <row r="1175" spans="2:10" x14ac:dyDescent="0.25">
      <c r="B1175" s="1" t="str">
        <f>("W00002357")</f>
        <v>W00002357</v>
      </c>
      <c r="C1175" s="1" t="str">
        <f>("The six sigma revolution : how General Electric and others turned process into profits / ")</f>
        <v xml:space="preserve">The six sigma revolution : how General Electric and others turned process into profits / </v>
      </c>
      <c r="D1175" s="1" t="str">
        <f t="shared" si="42"/>
        <v>4F西文書庫 4F Western Language Books</v>
      </c>
      <c r="E1175" s="1" t="str">
        <f>("TS156 E19 2001")</f>
        <v>TS156 E19 2001</v>
      </c>
      <c r="G1175" s="1" t="str">
        <f>("xiv, 274 p. : ")</f>
        <v xml:space="preserve">xiv, 274 p. : </v>
      </c>
      <c r="H1175" s="1" t="str">
        <f>("ill. ; ")</f>
        <v xml:space="preserve">ill. ; </v>
      </c>
      <c r="I1175" s="1" t="str">
        <f>("24 cm. ")</f>
        <v xml:space="preserve">24 cm. </v>
      </c>
    </row>
    <row r="1176" spans="2:10" x14ac:dyDescent="0.25">
      <c r="B1176" s="1" t="str">
        <f>("W00002517")</f>
        <v>W00002517</v>
      </c>
      <c r="C1176" s="1" t="str">
        <f>("The management and control of quality / ")</f>
        <v xml:space="preserve">The management and control of quality / </v>
      </c>
      <c r="D1176" s="1" t="str">
        <f t="shared" si="42"/>
        <v>4F西文書庫 4F Western Language Books</v>
      </c>
      <c r="E1176" s="1" t="str">
        <f>("TS156 E92 1999")</f>
        <v>TS156 E92 1999</v>
      </c>
      <c r="G1176" s="1" t="str">
        <f>("1v. (various pagings) : ")</f>
        <v xml:space="preserve">1v. (various pagings) : </v>
      </c>
      <c r="H1176" s="1" t="str">
        <f>("ill. ; ")</f>
        <v xml:space="preserve">ill. ; </v>
      </c>
      <c r="I1176" s="1" t="str">
        <f>("26 cm. + ")</f>
        <v xml:space="preserve">26 cm. + </v>
      </c>
      <c r="J1176" s="1" t="str">
        <f>(" 1 computer disk (3 1/2 in.) ")</f>
        <v xml:space="preserve"> 1 computer disk (3 1/2 in.) </v>
      </c>
    </row>
    <row r="1177" spans="2:10" x14ac:dyDescent="0.25">
      <c r="B1177" s="1" t="str">
        <f>("W00002414")</f>
        <v>W00002414</v>
      </c>
      <c r="C1177" s="1" t="str">
        <f>("Beyond business casual :what to wear to work if you want to get ahead /")</f>
        <v>Beyond business casual :what to wear to work if you want to get ahead /</v>
      </c>
      <c r="D1177" s="1" t="str">
        <f t="shared" si="42"/>
        <v>4F西文書庫 4F Western Language Books</v>
      </c>
      <c r="E1177" s="1" t="str">
        <f>("TT507 S113 2000")</f>
        <v>TT507 S113 2000</v>
      </c>
    </row>
    <row r="1178" spans="2:10" x14ac:dyDescent="0.25">
      <c r="B1178" s="1" t="str">
        <f>("W00002194")</f>
        <v>W00002194</v>
      </c>
      <c r="C1178" s="1" t="str">
        <f>("Fundamentals of menu planning /")</f>
        <v>Fundamentals of menu planning /</v>
      </c>
      <c r="D1178" s="1" t="str">
        <f t="shared" si="42"/>
        <v>4F西文書庫 4F Western Language Books</v>
      </c>
      <c r="E1178" s="1" t="str">
        <f>("TX911.3 M113 2001")</f>
        <v>TX911.3 M113 2001</v>
      </c>
    </row>
    <row r="1179" spans="2:10" x14ac:dyDescent="0.25">
      <c r="B1179" s="1" t="str">
        <f>("W00002561")</f>
        <v>W00002561</v>
      </c>
      <c r="C1179" s="1" t="str">
        <f>("Marketing management for the hospitality industry :astrategic approach /")</f>
        <v>Marketing management for the hospitality industry :astrategic approach /</v>
      </c>
      <c r="D1179" s="1" t="str">
        <f t="shared" si="42"/>
        <v>4F西文書庫 4F Western Language Books</v>
      </c>
      <c r="E1179" s="1" t="str">
        <f>("TX911.3 R348 1997")</f>
        <v>TX911.3 R348 1997</v>
      </c>
    </row>
    <row r="1180" spans="2:10" x14ac:dyDescent="0.25">
      <c r="B1180" s="1" t="str">
        <f>("W00002321")</f>
        <v>W00002321</v>
      </c>
      <c r="C1180" s="1" t="str">
        <f>("Advanced pediatric clinical assessment :skills and procedures /")</f>
        <v>Advanced pediatric clinical assessment :skills and procedures /</v>
      </c>
      <c r="D1180" s="1" t="str">
        <f t="shared" si="42"/>
        <v>4F西文書庫 4F Western Language Books</v>
      </c>
      <c r="E1180" s="1" t="str">
        <f>("U329 M985 2001")</f>
        <v>U329 M985 2001</v>
      </c>
    </row>
    <row r="1181" spans="2:10" x14ac:dyDescent="0.25">
      <c r="B1181" s="1" t="str">
        <f>("W00002333")</f>
        <v>W00002333</v>
      </c>
      <c r="C1181" s="1" t="str">
        <f>("Surgery :700 questions and answers /")</f>
        <v>Surgery :700 questions and answers /</v>
      </c>
      <c r="D1181" s="1" t="str">
        <f t="shared" si="42"/>
        <v>4F西文書庫 4F Western Language Books</v>
      </c>
      <c r="E1181" s="1" t="str">
        <f>("WO500 M596 1995")</f>
        <v>WO500 M596 1995</v>
      </c>
    </row>
    <row r="1182" spans="2:10" x14ac:dyDescent="0.25">
      <c r="B1182" s="1" t="str">
        <f>("W00002167")</f>
        <v>W00002167</v>
      </c>
      <c r="C1182" s="1" t="str">
        <f>("Handbook of pediatrics /")</f>
        <v>Handbook of pediatrics /</v>
      </c>
      <c r="D1182" s="1" t="str">
        <f t="shared" si="42"/>
        <v>4F西文書庫 4F Western Language Books</v>
      </c>
      <c r="E1182" s="1" t="str">
        <f>("WS18.2 M558 1997")</f>
        <v>WS18.2 M558 1997</v>
      </c>
    </row>
    <row r="1183" spans="2:10" x14ac:dyDescent="0.25">
      <c r="B1183" s="1" t="str">
        <f>("W00002549")</f>
        <v>W00002549</v>
      </c>
      <c r="C1183" s="1" t="str">
        <f>("Central News : Activity Book/ ")</f>
        <v xml:space="preserve">Central News : Activity Book/ </v>
      </c>
      <c r="D1183" s="1" t="str">
        <f t="shared" si="42"/>
        <v>4F西文書庫 4F Western Language Books</v>
      </c>
      <c r="E1183" s="1" t="str">
        <f>("Z151 C818 1991")</f>
        <v>Z151 C818 1991</v>
      </c>
    </row>
    <row r="1184" spans="2:10" x14ac:dyDescent="0.25">
      <c r="B1184" s="1" t="str">
        <f>("W00002550")</f>
        <v>W00002550</v>
      </c>
      <c r="C1184" s="1" t="str">
        <f>("Central News : Activity Book/ ")</f>
        <v xml:space="preserve">Central News : Activity Book/ </v>
      </c>
      <c r="D1184" s="1" t="str">
        <f t="shared" si="42"/>
        <v>4F西文書庫 4F Western Language Books</v>
      </c>
      <c r="E1184" s="1" t="str">
        <f>("Z151 C818 1991")</f>
        <v>Z151 C818 1991</v>
      </c>
    </row>
    <row r="1185" spans="2:5" x14ac:dyDescent="0.25">
      <c r="B1185" s="1" t="str">
        <f>("W00002551")</f>
        <v>W00002551</v>
      </c>
      <c r="C1185" s="1" t="str">
        <f>("Central News : Activity Book/ ")</f>
        <v xml:space="preserve">Central News : Activity Book/ </v>
      </c>
      <c r="D1185" s="1" t="str">
        <f t="shared" si="42"/>
        <v>4F西文書庫 4F Western Language Books</v>
      </c>
      <c r="E1185" s="1" t="str">
        <f>("Z151 C818 1991")</f>
        <v>Z151 C818 1991</v>
      </c>
    </row>
    <row r="1186" spans="2:5" x14ac:dyDescent="0.25">
      <c r="B1186" s="1" t="str">
        <f>("W00002535")</f>
        <v>W00002535</v>
      </c>
      <c r="C1186" s="1" t="str">
        <f>("Business objectives /")</f>
        <v>Business objectives /</v>
      </c>
      <c r="D1186" s="1" t="str">
        <f t="shared" si="42"/>
        <v>4F西文書庫 4F Western Language Books</v>
      </c>
      <c r="E1186" s="1" t="str">
        <f>("Z151 V636 1996")</f>
        <v>Z151 V636 1996</v>
      </c>
    </row>
    <row r="1187" spans="2:5" x14ac:dyDescent="0.25">
      <c r="B1187" s="1" t="str">
        <f>("W00002545")</f>
        <v>W00002545</v>
      </c>
      <c r="C1187" s="1" t="str">
        <f>("Business objectives /")</f>
        <v>Business objectives /</v>
      </c>
      <c r="D1187" s="1" t="str">
        <f t="shared" si="42"/>
        <v>4F西文書庫 4F Western Language Books</v>
      </c>
      <c r="E1187" s="1" t="str">
        <f>("Z151 V636 1996 c.2")</f>
        <v>Z151 V636 1996 c.2</v>
      </c>
    </row>
    <row r="1188" spans="2:5" x14ac:dyDescent="0.25">
      <c r="B1188" s="1" t="str">
        <f>("W00002767")</f>
        <v>W00002767</v>
      </c>
      <c r="C1188" s="1" t="str">
        <f>("Adobe InDesign bible / ")</f>
        <v xml:space="preserve">Adobe InDesign bible / </v>
      </c>
      <c r="D1188" s="1" t="str">
        <f t="shared" si="42"/>
        <v>4F西文書庫 4F Western Language Books</v>
      </c>
      <c r="E1188" s="1" t="str">
        <f>("Z253.532 G885 1999")</f>
        <v>Z253.532 G885 1999</v>
      </c>
    </row>
    <row r="1189" spans="2:5" x14ac:dyDescent="0.25">
      <c r="B1189" s="1" t="str">
        <f>("W00002195")</f>
        <v>W00002195</v>
      </c>
      <c r="C1189" s="1" t="str">
        <f>("Information processing and management /")</f>
        <v>Information processing and management /</v>
      </c>
      <c r="D1189" s="1" t="str">
        <f t="shared" si="42"/>
        <v>4F西文書庫 4F Western Language Books</v>
      </c>
      <c r="E1189" s="1" t="str">
        <f>("Z699.A1 M612 2000")</f>
        <v>Z699.A1 M612 2000</v>
      </c>
    </row>
    <row r="1190" spans="2:5" x14ac:dyDescent="0.25">
      <c r="B1190" s="1" t="str">
        <f>("W00002481")</f>
        <v>W00002481</v>
      </c>
      <c r="C1190" s="1" t="str">
        <f>("CPA Focus notes:accounting and reporting")</f>
        <v>CPA Focus notes:accounting and reporting</v>
      </c>
      <c r="D1190" s="1" t="str">
        <f t="shared" si="42"/>
        <v>4F西文書庫 4F Western Language Books</v>
      </c>
      <c r="E1190" s="1" t="str">
        <f>("Z7164.C81 C111 1997")</f>
        <v>Z7164.C81 C111 1997</v>
      </c>
    </row>
    <row r="1191" spans="2:5" x14ac:dyDescent="0.25">
      <c r="B1191" s="1" t="str">
        <f>("W00002479")</f>
        <v>W00002479</v>
      </c>
      <c r="C1191" s="1" t="str">
        <f>("CPA Focus notes:accounting and reporting")</f>
        <v>CPA Focus notes:accounting and reporting</v>
      </c>
      <c r="D1191" s="1" t="str">
        <f t="shared" si="42"/>
        <v>4F西文書庫 4F Western Language Books</v>
      </c>
      <c r="E1191" s="1" t="str">
        <f>("Z7164.C81 C111-2 1997")</f>
        <v>Z7164.C81 C111-2 1997</v>
      </c>
    </row>
    <row r="1192" spans="2:5" x14ac:dyDescent="0.25">
      <c r="B1192" s="1" t="str">
        <f>("W00002480")</f>
        <v>W00002480</v>
      </c>
      <c r="C1192" s="1" t="str">
        <f>("CPA Focus notes:accounting and reporting")</f>
        <v>CPA Focus notes:accounting and reporting</v>
      </c>
      <c r="D1192" s="1" t="str">
        <f t="shared" si="42"/>
        <v>4F西文書庫 4F Western Language Books</v>
      </c>
      <c r="E1192" s="1" t="str">
        <f>("Z7164.C81 C111-3 1997")</f>
        <v>Z7164.C81 C111-3 1997</v>
      </c>
    </row>
    <row r="1193" spans="2:5" x14ac:dyDescent="0.25">
      <c r="B1193" s="1" t="str">
        <f>("W00002478")</f>
        <v>W00002478</v>
      </c>
      <c r="C1193" s="1" t="str">
        <f>("CPA Focus notes:")</f>
        <v>CPA Focus notes:</v>
      </c>
      <c r="D1193" s="1" t="str">
        <f t="shared" si="42"/>
        <v>4F西文書庫 4F Western Language Books</v>
      </c>
      <c r="E1193" s="1" t="str">
        <f>("Z7164.C81 C111-4 1997")</f>
        <v>Z7164.C81 C111-4 1997</v>
      </c>
    </row>
    <row r="1194" spans="2:5" x14ac:dyDescent="0.25">
      <c r="B1194" s="1" t="str">
        <f>("W00002472")</f>
        <v>W00002472</v>
      </c>
      <c r="C1194" s="1" t="str">
        <f>("CPA examination review2000: accounting and reporting/ ")</f>
        <v xml:space="preserve">CPA examination review2000: accounting and reporting/ </v>
      </c>
      <c r="D1194" s="1" t="str">
        <f t="shared" si="42"/>
        <v>4F西文書庫 4F Western Language Books</v>
      </c>
      <c r="E1194" s="1" t="str">
        <f>("Z7164.C81 D337 2000")</f>
        <v>Z7164.C81 D337 2000</v>
      </c>
    </row>
  </sheetData>
  <autoFilter ref="A1:J1"/>
  <phoneticPr fontId="18" type="noConversion"/>
  <pageMargins left="0.70866141732283472" right="0.70866141732283472" top="0.55118110236220474" bottom="0.35433070866141736" header="0.31496062992125984" footer="0.11811023622047245"/>
  <pageSetup paperSize="9" orientation="portrait" r:id="rId1"/>
  <headerFooter>
    <oddHeader>&amp;R&amp;N--&amp;P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04"/>
  <sheetViews>
    <sheetView tabSelected="1" topLeftCell="A1154" zoomScale="70" zoomScaleNormal="70" workbookViewId="0">
      <selection activeCell="C12" sqref="C12:C1204"/>
    </sheetView>
  </sheetViews>
  <sheetFormatPr defaultRowHeight="16.5" x14ac:dyDescent="0.25"/>
  <cols>
    <col min="3" max="3" width="17.75" bestFit="1" customWidth="1"/>
  </cols>
  <sheetData>
    <row r="1" spans="1:49" x14ac:dyDescent="0.25">
      <c r="G1" t="s">
        <v>0</v>
      </c>
    </row>
    <row r="2" spans="1:49" x14ac:dyDescent="0.25">
      <c r="G2" t="s">
        <v>1</v>
      </c>
    </row>
    <row r="3" spans="1:49" x14ac:dyDescent="0.25">
      <c r="A3" t="s">
        <v>2</v>
      </c>
      <c r="C3" t="s">
        <v>3</v>
      </c>
    </row>
    <row r="4" spans="1:49" x14ac:dyDescent="0.25">
      <c r="A4" t="s">
        <v>4</v>
      </c>
      <c r="C4" t="s">
        <v>0</v>
      </c>
      <c r="L4" t="s">
        <v>5</v>
      </c>
    </row>
    <row r="5" spans="1:49" x14ac:dyDescent="0.25">
      <c r="A5" t="s">
        <v>6</v>
      </c>
      <c r="E5" t="s">
        <v>7</v>
      </c>
      <c r="L5" t="s">
        <v>8</v>
      </c>
    </row>
    <row r="6" spans="1:49" x14ac:dyDescent="0.25">
      <c r="A6" t="s">
        <v>9</v>
      </c>
      <c r="E6" t="s">
        <v>7</v>
      </c>
      <c r="L6" t="s">
        <v>10</v>
      </c>
    </row>
    <row r="7" spans="1:49" x14ac:dyDescent="0.25">
      <c r="A7" t="s">
        <v>11</v>
      </c>
      <c r="C7" t="s">
        <v>12</v>
      </c>
      <c r="E7" t="s">
        <v>7</v>
      </c>
      <c r="F7" t="s">
        <v>13</v>
      </c>
      <c r="L7" t="s">
        <v>14</v>
      </c>
    </row>
    <row r="8" spans="1:49" x14ac:dyDescent="0.25">
      <c r="A8" t="s">
        <v>15</v>
      </c>
      <c r="C8" t="s">
        <v>11</v>
      </c>
      <c r="L8" t="s">
        <v>16</v>
      </c>
      <c r="N8" t="s">
        <v>17</v>
      </c>
    </row>
    <row r="9" spans="1:49" x14ac:dyDescent="0.25">
      <c r="A9" t="s">
        <v>18</v>
      </c>
      <c r="C9" t="s">
        <v>19</v>
      </c>
    </row>
    <row r="11" spans="1:49" x14ac:dyDescent="0.25">
      <c r="A11" t="s">
        <v>20</v>
      </c>
      <c r="B11" t="s">
        <v>21</v>
      </c>
      <c r="C11" t="s">
        <v>11</v>
      </c>
      <c r="D11" t="s">
        <v>19</v>
      </c>
      <c r="E11" t="s">
        <v>22</v>
      </c>
      <c r="F11" t="s">
        <v>23</v>
      </c>
      <c r="G11" t="s">
        <v>24</v>
      </c>
      <c r="H11" t="s">
        <v>5</v>
      </c>
      <c r="I11" t="s">
        <v>25</v>
      </c>
      <c r="J11" t="s">
        <v>26</v>
      </c>
      <c r="K11" t="s">
        <v>27</v>
      </c>
      <c r="L11" t="s">
        <v>28</v>
      </c>
      <c r="M11" t="s">
        <v>29</v>
      </c>
      <c r="N11" t="s">
        <v>30</v>
      </c>
      <c r="O11" t="s">
        <v>4</v>
      </c>
      <c r="P11" t="s">
        <v>31</v>
      </c>
      <c r="Q11" t="s">
        <v>32</v>
      </c>
      <c r="R11" t="s">
        <v>33</v>
      </c>
      <c r="S11" t="s">
        <v>34</v>
      </c>
      <c r="T11" t="s">
        <v>35</v>
      </c>
      <c r="U11" t="s">
        <v>36</v>
      </c>
      <c r="V11" t="s">
        <v>37</v>
      </c>
      <c r="W11" t="s">
        <v>8</v>
      </c>
      <c r="X11" t="s">
        <v>38</v>
      </c>
      <c r="Y11" t="s">
        <v>39</v>
      </c>
      <c r="Z11" t="s">
        <v>40</v>
      </c>
      <c r="AA11" t="s">
        <v>41</v>
      </c>
      <c r="AB11" t="s">
        <v>42</v>
      </c>
      <c r="AC11" t="s">
        <v>43</v>
      </c>
      <c r="AD11" t="s">
        <v>44</v>
      </c>
      <c r="AE11" t="s">
        <v>45</v>
      </c>
      <c r="AF11" t="s">
        <v>46</v>
      </c>
      <c r="AG11" t="s">
        <v>47</v>
      </c>
      <c r="AH11" t="s">
        <v>48</v>
      </c>
      <c r="AI11" t="s">
        <v>49</v>
      </c>
      <c r="AJ11" t="s">
        <v>50</v>
      </c>
      <c r="AK11" t="s">
        <v>51</v>
      </c>
      <c r="AL11" t="s">
        <v>52</v>
      </c>
      <c r="AM11" t="s">
        <v>53</v>
      </c>
      <c r="AN11" t="s">
        <v>54</v>
      </c>
      <c r="AO11" t="s">
        <v>55</v>
      </c>
      <c r="AP11" t="s">
        <v>56</v>
      </c>
      <c r="AQ11" t="s">
        <v>57</v>
      </c>
      <c r="AR11" t="s">
        <v>58</v>
      </c>
      <c r="AS11" t="s">
        <v>59</v>
      </c>
      <c r="AT11" t="s">
        <v>60</v>
      </c>
      <c r="AU11" t="s">
        <v>61</v>
      </c>
      <c r="AV11" t="s">
        <v>62</v>
      </c>
      <c r="AW11" t="s">
        <v>63</v>
      </c>
    </row>
    <row r="12" spans="1:49" x14ac:dyDescent="0.25">
      <c r="A12">
        <v>1</v>
      </c>
      <c r="B12" t="str">
        <f>("288935")</f>
        <v>288935</v>
      </c>
      <c r="C12" t="str">
        <f>("W00002037")</f>
        <v>W00002037</v>
      </c>
      <c r="D12" t="str">
        <f>("Stock workbook11")</f>
        <v>Stock workbook11</v>
      </c>
      <c r="E12" t="str">
        <f>("Susan Haller")</f>
        <v>Susan Haller</v>
      </c>
      <c r="F12" t="str">
        <f>("Alexis scott,")</f>
        <v>Alexis scott,</v>
      </c>
      <c r="H12" t="str">
        <f t="shared" ref="H12:H19" si="0">("圖書 book")</f>
        <v>圖書 book</v>
      </c>
      <c r="I12" t="str">
        <f>("HG4661 S964 1997")</f>
        <v>HG4661 S964 1997</v>
      </c>
      <c r="J12" t="str">
        <f>("188752827X")</f>
        <v>188752827X</v>
      </c>
      <c r="K12" t="str">
        <f>("1498")</f>
        <v>1498</v>
      </c>
      <c r="L12" t="str">
        <f t="shared" ref="L12:L75" si="1">("2001/10/10 00:00:00")</f>
        <v>2001/10/10 00:00:00</v>
      </c>
      <c r="M12" t="str">
        <f>("2018/08/11 13:33:46")</f>
        <v>2018/08/11 13:33:46</v>
      </c>
      <c r="N12" t="str">
        <f>("1997")</f>
        <v>1997</v>
      </c>
      <c r="O12" t="str">
        <f t="shared" ref="O12:O19" si="2">("4F西文書庫 4F Western Language Books")</f>
        <v>4F西文書庫 4F Western Language Books</v>
      </c>
      <c r="P12" t="s">
        <v>64</v>
      </c>
      <c r="W12" t="str">
        <f t="shared" ref="W12:W43" si="3">("美國國會圖書分類法")</f>
        <v>美國國會圖書分類法</v>
      </c>
      <c r="Y12" t="str">
        <f>("HG4661")</f>
        <v>HG4661</v>
      </c>
      <c r="Z12" t="str">
        <f>("2018/08/11 13:33:46")</f>
        <v>2018/08/11 13:33:46</v>
      </c>
      <c r="AA12" t="str">
        <f t="shared" ref="AA12:AA75" si="4">("catc")</f>
        <v>catc</v>
      </c>
      <c r="AC12" t="str">
        <f>("S964")</f>
        <v>S964</v>
      </c>
      <c r="AE12" t="str">
        <f t="shared" ref="AE12:AE43" si="5">("c.1")</f>
        <v>c.1</v>
      </c>
      <c r="AF12" t="str">
        <f t="shared" ref="AF12:AF19" si="6">("1.可借圖書")</f>
        <v>1.可借圖書</v>
      </c>
      <c r="AG12" t="str">
        <f t="shared" ref="AG12:AG19" si="7">("在架")</f>
        <v>在架</v>
      </c>
      <c r="AI12" t="s">
        <v>65</v>
      </c>
      <c r="AK12" t="str">
        <f t="shared" ref="AK12:AK75" si="8">("一般(Normal)")</f>
        <v>一般(Normal)</v>
      </c>
      <c r="AO12" t="s">
        <v>65</v>
      </c>
      <c r="AS12" t="str">
        <f>("1997.")</f>
        <v>1997.</v>
      </c>
      <c r="AT12" t="str">
        <f t="shared" ref="AT12:AT75" si="9">("catc")</f>
        <v>catc</v>
      </c>
    </row>
    <row r="13" spans="1:49" x14ac:dyDescent="0.25">
      <c r="A13">
        <v>2</v>
      </c>
      <c r="B13" t="str">
        <f>("288936")</f>
        <v>288936</v>
      </c>
      <c r="C13" t="str">
        <f>("W00002038")</f>
        <v>W00002038</v>
      </c>
      <c r="D13" t="str">
        <f>("The smart woman's guide to business travel /")</f>
        <v>The smart woman's guide to business travel /</v>
      </c>
      <c r="E13" t="str">
        <f>("Borman, Laurie D. ")</f>
        <v xml:space="preserve">Borman, Laurie D. </v>
      </c>
      <c r="F13" t="str">
        <f>("Career Press,")</f>
        <v>Career Press,</v>
      </c>
      <c r="H13" t="str">
        <f t="shared" si="0"/>
        <v>圖書 book</v>
      </c>
      <c r="I13" t="str">
        <f>("G156.50 B726 1999")</f>
        <v>G156.50 B726 1999</v>
      </c>
      <c r="J13" t="str">
        <f>("1564143724")</f>
        <v>1564143724</v>
      </c>
      <c r="K13" t="str">
        <f>("444")</f>
        <v>444</v>
      </c>
      <c r="L13" t="str">
        <f t="shared" si="1"/>
        <v>2001/10/10 00:00:00</v>
      </c>
      <c r="M13" t="str">
        <f>("2018/08/11 13:33:46")</f>
        <v>2018/08/11 13:33:46</v>
      </c>
      <c r="N13" t="str">
        <f>("1999")</f>
        <v>1999</v>
      </c>
      <c r="O13" t="str">
        <f t="shared" si="2"/>
        <v>4F西文書庫 4F Western Language Books</v>
      </c>
      <c r="P13" t="s">
        <v>64</v>
      </c>
      <c r="W13" t="str">
        <f t="shared" si="3"/>
        <v>美國國會圖書分類法</v>
      </c>
      <c r="Y13" t="str">
        <f>("G156.50")</f>
        <v>G156.50</v>
      </c>
      <c r="Z13" t="str">
        <f>("2018/08/11 13:33:46")</f>
        <v>2018/08/11 13:33:46</v>
      </c>
      <c r="AA13" t="str">
        <f t="shared" si="4"/>
        <v>catc</v>
      </c>
      <c r="AC13" t="str">
        <f>("B726")</f>
        <v>B726</v>
      </c>
      <c r="AE13" t="str">
        <f t="shared" si="5"/>
        <v>c.1</v>
      </c>
      <c r="AF13" t="str">
        <f t="shared" si="6"/>
        <v>1.可借圖書</v>
      </c>
      <c r="AG13" t="str">
        <f t="shared" si="7"/>
        <v>在架</v>
      </c>
      <c r="AI13" t="s">
        <v>65</v>
      </c>
      <c r="AK13" t="str">
        <f t="shared" si="8"/>
        <v>一般(Normal)</v>
      </c>
      <c r="AO13" t="s">
        <v>65</v>
      </c>
      <c r="AS13" t="str">
        <f>("c1999. ")</f>
        <v xml:space="preserve">c1999. </v>
      </c>
      <c r="AT13" t="str">
        <f t="shared" si="9"/>
        <v>catc</v>
      </c>
    </row>
    <row r="14" spans="1:49" x14ac:dyDescent="0.25">
      <c r="A14">
        <v>3</v>
      </c>
      <c r="B14" t="str">
        <f>("288937")</f>
        <v>288937</v>
      </c>
      <c r="C14" t="str">
        <f>("W00002039")</f>
        <v>W00002039</v>
      </c>
      <c r="D14" t="str">
        <f>("Fundamentals of the bond market /")</f>
        <v>Fundamentals of the bond market /</v>
      </c>
      <c r="E14" t="str">
        <f>("Faerber, Esme. ")</f>
        <v xml:space="preserve">Faerber, Esme. </v>
      </c>
      <c r="F14" t="str">
        <f>("McGraw-Hill,")</f>
        <v>McGraw-Hill,</v>
      </c>
      <c r="H14" t="str">
        <f t="shared" si="0"/>
        <v>圖書 book</v>
      </c>
      <c r="I14" t="str">
        <f>("HG4910 F148 2000")</f>
        <v>HG4910 F148 2000</v>
      </c>
      <c r="J14" t="str">
        <f>("0071362517")</f>
        <v>0071362517</v>
      </c>
      <c r="K14" t="str">
        <f>("888")</f>
        <v>888</v>
      </c>
      <c r="L14" t="str">
        <f t="shared" si="1"/>
        <v>2001/10/10 00:00:00</v>
      </c>
      <c r="M14" t="str">
        <f>("2018/08/11 13:33:46")</f>
        <v>2018/08/11 13:33:46</v>
      </c>
      <c r="N14" t="str">
        <f>("2000")</f>
        <v>2000</v>
      </c>
      <c r="O14" t="str">
        <f t="shared" si="2"/>
        <v>4F西文書庫 4F Western Language Books</v>
      </c>
      <c r="P14" t="s">
        <v>64</v>
      </c>
      <c r="W14" t="str">
        <f t="shared" si="3"/>
        <v>美國國會圖書分類法</v>
      </c>
      <c r="Y14" t="str">
        <f>("HG4910")</f>
        <v>HG4910</v>
      </c>
      <c r="Z14" t="str">
        <f>("2018/08/11 13:33:46")</f>
        <v>2018/08/11 13:33:46</v>
      </c>
      <c r="AA14" t="str">
        <f t="shared" si="4"/>
        <v>catc</v>
      </c>
      <c r="AC14" t="str">
        <f>("F148")</f>
        <v>F148</v>
      </c>
      <c r="AE14" t="str">
        <f t="shared" si="5"/>
        <v>c.1</v>
      </c>
      <c r="AF14" t="str">
        <f t="shared" si="6"/>
        <v>1.可借圖書</v>
      </c>
      <c r="AG14" t="str">
        <f t="shared" si="7"/>
        <v>在架</v>
      </c>
      <c r="AI14" t="s">
        <v>65</v>
      </c>
      <c r="AK14" t="str">
        <f t="shared" si="8"/>
        <v>一般(Normal)</v>
      </c>
      <c r="AO14" t="s">
        <v>65</v>
      </c>
      <c r="AS14" t="str">
        <f>("c2001. ")</f>
        <v xml:space="preserve">c2001. </v>
      </c>
      <c r="AT14" t="str">
        <f t="shared" si="9"/>
        <v>catc</v>
      </c>
    </row>
    <row r="15" spans="1:49" x14ac:dyDescent="0.25">
      <c r="A15">
        <v>4</v>
      </c>
      <c r="B15" t="str">
        <f>("288919")</f>
        <v>288919</v>
      </c>
      <c r="C15" t="str">
        <f>("W00002040")</f>
        <v>W00002040</v>
      </c>
      <c r="D15" t="str">
        <f>("American theme restaurants /")</f>
        <v>American theme restaurants /</v>
      </c>
      <c r="E15" t="str">
        <f>("Tao, I. M ")</f>
        <v xml:space="preserve">Tao, I. M </v>
      </c>
      <c r="F15" t="str">
        <f>("Shotenkenchiku-Sha,")</f>
        <v>Shotenkenchiku-Sha,</v>
      </c>
      <c r="H15" t="str">
        <f t="shared" si="0"/>
        <v>圖書 book</v>
      </c>
      <c r="I15" t="str">
        <f>("TA174 T111 1999")</f>
        <v>TA174 T111 1999</v>
      </c>
      <c r="J15" t="str">
        <f>("4785802561")</f>
        <v>4785802561</v>
      </c>
      <c r="K15" t="str">
        <f>("2040")</f>
        <v>2040</v>
      </c>
      <c r="L15" t="str">
        <f t="shared" si="1"/>
        <v>2001/10/10 00:00:00</v>
      </c>
      <c r="M15" t="str">
        <f>("2018/08/11 13:33:46")</f>
        <v>2018/08/11 13:33:46</v>
      </c>
      <c r="N15" t="str">
        <f>("1999")</f>
        <v>1999</v>
      </c>
      <c r="O15" t="str">
        <f t="shared" si="2"/>
        <v>4F西文書庫 4F Western Language Books</v>
      </c>
      <c r="P15" t="s">
        <v>64</v>
      </c>
      <c r="W15" t="str">
        <f t="shared" si="3"/>
        <v>美國國會圖書分類法</v>
      </c>
      <c r="Y15" t="str">
        <f>("TA174")</f>
        <v>TA174</v>
      </c>
      <c r="Z15" t="str">
        <f>("2018/08/11 13:33:46")</f>
        <v>2018/08/11 13:33:46</v>
      </c>
      <c r="AA15" t="str">
        <f t="shared" si="4"/>
        <v>catc</v>
      </c>
      <c r="AC15" t="str">
        <f>("T111")</f>
        <v>T111</v>
      </c>
      <c r="AE15" t="str">
        <f t="shared" si="5"/>
        <v>c.1</v>
      </c>
      <c r="AF15" t="str">
        <f t="shared" si="6"/>
        <v>1.可借圖書</v>
      </c>
      <c r="AG15" t="str">
        <f t="shared" si="7"/>
        <v>在架</v>
      </c>
      <c r="AI15" t="s">
        <v>65</v>
      </c>
      <c r="AK15" t="str">
        <f t="shared" si="8"/>
        <v>一般(Normal)</v>
      </c>
      <c r="AO15" t="s">
        <v>65</v>
      </c>
      <c r="AS15" t="str">
        <f>("1999 ")</f>
        <v xml:space="preserve">1999 </v>
      </c>
      <c r="AT15" t="str">
        <f t="shared" si="9"/>
        <v>catc</v>
      </c>
    </row>
    <row r="16" spans="1:49" x14ac:dyDescent="0.25">
      <c r="A16">
        <v>5</v>
      </c>
      <c r="B16" t="str">
        <f>("288920")</f>
        <v>288920</v>
      </c>
      <c r="C16" t="str">
        <f>("W00002041")</f>
        <v>W00002041</v>
      </c>
      <c r="D16" t="str">
        <f>("50 companies that changed the world :incisive profiles of the 50 organizations, large and small, that have shaped the course of modern business /")</f>
        <v>50 companies that changed the world :incisive profiles of the 50 organizations, large and small, that have shaped the course of modern business /</v>
      </c>
      <c r="E16" t="str">
        <f>("Rothman, Howard. ")</f>
        <v xml:space="preserve">Rothman, Howard. </v>
      </c>
      <c r="F16" t="str">
        <f>("Career Press,")</f>
        <v>Career Press,</v>
      </c>
      <c r="H16" t="str">
        <f t="shared" si="0"/>
        <v>圖書 book</v>
      </c>
      <c r="I16" t="str">
        <f>("HD58.9 R845 2001")</f>
        <v>HD58.9 R845 2001</v>
      </c>
      <c r="J16" t="str">
        <f>("1564144968")</f>
        <v>1564144968</v>
      </c>
      <c r="K16" t="str">
        <f>("652")</f>
        <v>652</v>
      </c>
      <c r="L16" t="str">
        <f t="shared" si="1"/>
        <v>2001/10/10 00:00:00</v>
      </c>
      <c r="M16" t="str">
        <f t="shared" ref="M16:M25" si="10">("2018/08/11 13:33:47")</f>
        <v>2018/08/11 13:33:47</v>
      </c>
      <c r="N16" t="str">
        <f>("2001")</f>
        <v>2001</v>
      </c>
      <c r="O16" t="str">
        <f t="shared" si="2"/>
        <v>4F西文書庫 4F Western Language Books</v>
      </c>
      <c r="P16" t="s">
        <v>64</v>
      </c>
      <c r="W16" t="str">
        <f t="shared" si="3"/>
        <v>美國國會圖書分類法</v>
      </c>
      <c r="Y16" t="str">
        <f>("HD58.9")</f>
        <v>HD58.9</v>
      </c>
      <c r="Z16" t="str">
        <f t="shared" ref="Z16:Z26" si="11">("2018/08/11 13:33:47")</f>
        <v>2018/08/11 13:33:47</v>
      </c>
      <c r="AA16" t="str">
        <f t="shared" si="4"/>
        <v>catc</v>
      </c>
      <c r="AC16" t="str">
        <f>("R845")</f>
        <v>R845</v>
      </c>
      <c r="AE16" t="str">
        <f t="shared" si="5"/>
        <v>c.1</v>
      </c>
      <c r="AF16" t="str">
        <f t="shared" si="6"/>
        <v>1.可借圖書</v>
      </c>
      <c r="AG16" t="str">
        <f t="shared" si="7"/>
        <v>在架</v>
      </c>
      <c r="AI16" t="s">
        <v>65</v>
      </c>
      <c r="AK16" t="str">
        <f t="shared" si="8"/>
        <v>一般(Normal)</v>
      </c>
      <c r="AO16" t="s">
        <v>65</v>
      </c>
      <c r="AS16" t="str">
        <f>("c2001. ")</f>
        <v xml:space="preserve">c2001. </v>
      </c>
      <c r="AT16" t="str">
        <f t="shared" si="9"/>
        <v>catc</v>
      </c>
    </row>
    <row r="17" spans="1:46" x14ac:dyDescent="0.25">
      <c r="A17">
        <v>6</v>
      </c>
      <c r="B17" t="str">
        <f>("288941")</f>
        <v>288941</v>
      </c>
      <c r="C17" t="str">
        <f>("W00002042")</f>
        <v>W00002042</v>
      </c>
      <c r="D17" t="str">
        <f>("Creating corporate reputations :identity, image, and performance /")</f>
        <v>Creating corporate reputations :identity, image, and performance /</v>
      </c>
      <c r="E17" t="str">
        <f>("Dowling, Grahame R.")</f>
        <v>Dowling, Grahame R.</v>
      </c>
      <c r="F17" t="str">
        <f>("Oxford University Press,")</f>
        <v>Oxford University Press,</v>
      </c>
      <c r="H17" t="str">
        <f t="shared" si="0"/>
        <v>圖書 book</v>
      </c>
      <c r="I17" t="str">
        <f>("HD59.2 D747 2001")</f>
        <v>HD59.2 D747 2001</v>
      </c>
      <c r="J17" t="str">
        <f>("0199241635")</f>
        <v>0199241635</v>
      </c>
      <c r="K17" t="str">
        <f>("1100")</f>
        <v>1100</v>
      </c>
      <c r="L17" t="str">
        <f t="shared" si="1"/>
        <v>2001/10/10 00:00:00</v>
      </c>
      <c r="M17" t="str">
        <f t="shared" si="10"/>
        <v>2018/08/11 13:33:47</v>
      </c>
      <c r="N17" t="str">
        <f>("2001")</f>
        <v>2001</v>
      </c>
      <c r="O17" t="str">
        <f t="shared" si="2"/>
        <v>4F西文書庫 4F Western Language Books</v>
      </c>
      <c r="P17" t="s">
        <v>64</v>
      </c>
      <c r="W17" t="str">
        <f t="shared" si="3"/>
        <v>美國國會圖書分類法</v>
      </c>
      <c r="Y17" t="str">
        <f>("HD59.2")</f>
        <v>HD59.2</v>
      </c>
      <c r="Z17" t="str">
        <f t="shared" si="11"/>
        <v>2018/08/11 13:33:47</v>
      </c>
      <c r="AA17" t="str">
        <f t="shared" si="4"/>
        <v>catc</v>
      </c>
      <c r="AC17" t="str">
        <f>("D747")</f>
        <v>D747</v>
      </c>
      <c r="AE17" t="str">
        <f t="shared" si="5"/>
        <v>c.1</v>
      </c>
      <c r="AF17" t="str">
        <f t="shared" si="6"/>
        <v>1.可借圖書</v>
      </c>
      <c r="AG17" t="str">
        <f t="shared" si="7"/>
        <v>在架</v>
      </c>
      <c r="AI17" t="s">
        <v>65</v>
      </c>
      <c r="AK17" t="str">
        <f t="shared" si="8"/>
        <v>一般(Normal)</v>
      </c>
      <c r="AO17" t="s">
        <v>65</v>
      </c>
      <c r="AS17" t="str">
        <f>("2001. ")</f>
        <v xml:space="preserve">2001. </v>
      </c>
      <c r="AT17" t="str">
        <f t="shared" si="9"/>
        <v>catc</v>
      </c>
    </row>
    <row r="18" spans="1:46" x14ac:dyDescent="0.25">
      <c r="A18">
        <v>7</v>
      </c>
      <c r="B18" t="str">
        <f>("288942")</f>
        <v>288942</v>
      </c>
      <c r="C18" t="str">
        <f>("W00002043")</f>
        <v>W00002043</v>
      </c>
      <c r="D18" t="str">
        <f>("Inefficient markets :an introduction to behavioral finance /")</f>
        <v>Inefficient markets :an introduction to behavioral finance /</v>
      </c>
      <c r="E18" t="str">
        <f>("Shleifer, Andrei. ")</f>
        <v xml:space="preserve">Shleifer, Andrei. </v>
      </c>
      <c r="F18" t="str">
        <f>("Oxford University Press,")</f>
        <v>Oxford University Press,</v>
      </c>
      <c r="H18" t="str">
        <f t="shared" si="0"/>
        <v>圖書 book</v>
      </c>
      <c r="I18" t="str">
        <f>("HF4515 S524-2 2000")</f>
        <v>HF4515 S524-2 2000</v>
      </c>
      <c r="J18" t="str">
        <f>("0198292287")</f>
        <v>0198292287</v>
      </c>
      <c r="K18" t="str">
        <f>("1498")</f>
        <v>1498</v>
      </c>
      <c r="L18" t="str">
        <f t="shared" si="1"/>
        <v>2001/10/10 00:00:00</v>
      </c>
      <c r="M18" t="str">
        <f t="shared" si="10"/>
        <v>2018/08/11 13:33:47</v>
      </c>
      <c r="N18" t="str">
        <f>("2000")</f>
        <v>2000</v>
      </c>
      <c r="O18" t="str">
        <f t="shared" si="2"/>
        <v>4F西文書庫 4F Western Language Books</v>
      </c>
      <c r="P18" t="s">
        <v>64</v>
      </c>
      <c r="W18" t="str">
        <f t="shared" si="3"/>
        <v>美國國會圖書分類法</v>
      </c>
      <c r="Y18" t="str">
        <f>("HF4515")</f>
        <v>HF4515</v>
      </c>
      <c r="Z18" t="str">
        <f t="shared" si="11"/>
        <v>2018/08/11 13:33:47</v>
      </c>
      <c r="AA18" t="str">
        <f t="shared" si="4"/>
        <v>catc</v>
      </c>
      <c r="AC18" t="str">
        <f>("S524-2")</f>
        <v>S524-2</v>
      </c>
      <c r="AE18" t="str">
        <f t="shared" si="5"/>
        <v>c.1</v>
      </c>
      <c r="AF18" t="str">
        <f t="shared" si="6"/>
        <v>1.可借圖書</v>
      </c>
      <c r="AG18" t="str">
        <f t="shared" si="7"/>
        <v>在架</v>
      </c>
      <c r="AI18" t="s">
        <v>65</v>
      </c>
      <c r="AK18" t="str">
        <f t="shared" si="8"/>
        <v>一般(Normal)</v>
      </c>
      <c r="AO18" t="s">
        <v>65</v>
      </c>
      <c r="AS18" t="str">
        <f>("2000. ")</f>
        <v xml:space="preserve">2000. </v>
      </c>
      <c r="AT18" t="str">
        <f t="shared" si="9"/>
        <v>catc</v>
      </c>
    </row>
    <row r="19" spans="1:46" x14ac:dyDescent="0.25">
      <c r="A19">
        <v>8</v>
      </c>
      <c r="B19" t="str">
        <f>("288943")</f>
        <v>288943</v>
      </c>
      <c r="C19" t="str">
        <f>("W00002044")</f>
        <v>W00002044</v>
      </c>
      <c r="D19" t="str">
        <f>("The intellectual and social organization of the sciences /")</f>
        <v>The intellectual and social organization of the sciences /</v>
      </c>
      <c r="E19" t="str">
        <f>("Whitley, Richard. ")</f>
        <v xml:space="preserve">Whitley, Richard. </v>
      </c>
      <c r="F19" t="str">
        <f>("Oxford University Press,")</f>
        <v>Oxford University Press,</v>
      </c>
      <c r="G19" t="str">
        <f>("2nd ed. ")</f>
        <v xml:space="preserve">2nd ed. </v>
      </c>
      <c r="H19" t="str">
        <f t="shared" si="0"/>
        <v>圖書 book</v>
      </c>
      <c r="I19" t="str">
        <f>("Q175 W577 2000")</f>
        <v>Q175 W577 2000</v>
      </c>
      <c r="J19" t="str">
        <f>("0199240450")</f>
        <v>0199240450</v>
      </c>
      <c r="K19" t="str">
        <f>("792")</f>
        <v>792</v>
      </c>
      <c r="L19" t="str">
        <f t="shared" si="1"/>
        <v>2001/10/10 00:00:00</v>
      </c>
      <c r="M19" t="str">
        <f t="shared" si="10"/>
        <v>2018/08/11 13:33:47</v>
      </c>
      <c r="N19" t="str">
        <f>("2000")</f>
        <v>2000</v>
      </c>
      <c r="O19" t="str">
        <f t="shared" si="2"/>
        <v>4F西文書庫 4F Western Language Books</v>
      </c>
      <c r="P19" t="s">
        <v>64</v>
      </c>
      <c r="W19" t="str">
        <f t="shared" si="3"/>
        <v>美國國會圖書分類法</v>
      </c>
      <c r="Y19" t="str">
        <f>("Q175")</f>
        <v>Q175</v>
      </c>
      <c r="Z19" t="str">
        <f t="shared" si="11"/>
        <v>2018/08/11 13:33:47</v>
      </c>
      <c r="AA19" t="str">
        <f t="shared" si="4"/>
        <v>catc</v>
      </c>
      <c r="AC19" t="str">
        <f>("W577")</f>
        <v>W577</v>
      </c>
      <c r="AE19" t="str">
        <f t="shared" si="5"/>
        <v>c.1</v>
      </c>
      <c r="AF19" t="str">
        <f t="shared" si="6"/>
        <v>1.可借圖書</v>
      </c>
      <c r="AG19" t="str">
        <f t="shared" si="7"/>
        <v>在架</v>
      </c>
      <c r="AI19" t="s">
        <v>65</v>
      </c>
      <c r="AK19" t="str">
        <f t="shared" si="8"/>
        <v>一般(Normal)</v>
      </c>
      <c r="AO19" t="s">
        <v>65</v>
      </c>
      <c r="AS19" t="str">
        <f>("2000. ")</f>
        <v xml:space="preserve">2000. </v>
      </c>
      <c r="AT19" t="str">
        <f t="shared" si="9"/>
        <v>catc</v>
      </c>
    </row>
    <row r="20" spans="1:46" x14ac:dyDescent="0.25">
      <c r="A20">
        <v>9</v>
      </c>
      <c r="B20" t="str">
        <f>("288938")</f>
        <v>288938</v>
      </c>
      <c r="C20" t="str">
        <f>("W00002045")</f>
        <v>W00002045</v>
      </c>
      <c r="D20" t="str">
        <f>("The Offical MBA Handbook 2000/2001")</f>
        <v>The Offical MBA Handbook 2000/2001</v>
      </c>
      <c r="E20" t="str">
        <f>("Golzen Godfrey")</f>
        <v>Golzen Godfrey</v>
      </c>
      <c r="F20" t="str">
        <f>("Prentice Hall,")</f>
        <v>Prentice Hall,</v>
      </c>
      <c r="H20" t="str">
        <f>("參考書 Reference")</f>
        <v>參考書 Reference</v>
      </c>
      <c r="I20" t="str">
        <f>("R S587 G617 2000")</f>
        <v>R S587 G617 2000</v>
      </c>
      <c r="J20" t="str">
        <f>("0273649973")</f>
        <v>0273649973</v>
      </c>
      <c r="K20" t="str">
        <f>("1428")</f>
        <v>1428</v>
      </c>
      <c r="L20" t="str">
        <f t="shared" si="1"/>
        <v>2001/10/10 00:00:00</v>
      </c>
      <c r="M20" t="str">
        <f t="shared" si="10"/>
        <v>2018/08/11 13:33:47</v>
      </c>
      <c r="N20" t="str">
        <f>("2000")</f>
        <v>2000</v>
      </c>
      <c r="O20" t="str">
        <f>("2F西文參考書庫 2F Western Reference Resources")</f>
        <v>2F西文參考書庫 2F Western Reference Resources</v>
      </c>
      <c r="P20" t="s">
        <v>64</v>
      </c>
      <c r="W20" t="str">
        <f t="shared" si="3"/>
        <v>美國國會圖書分類法</v>
      </c>
      <c r="Y20" t="str">
        <f>("S587")</f>
        <v>S587</v>
      </c>
      <c r="Z20" t="str">
        <f t="shared" si="11"/>
        <v>2018/08/11 13:33:47</v>
      </c>
      <c r="AA20" t="str">
        <f t="shared" si="4"/>
        <v>catc</v>
      </c>
      <c r="AC20" t="str">
        <f>("G617")</f>
        <v>G617</v>
      </c>
      <c r="AE20" t="str">
        <f t="shared" si="5"/>
        <v>c.1</v>
      </c>
      <c r="AF20" t="str">
        <f>("參考工具書")</f>
        <v>參考工具書</v>
      </c>
      <c r="AG20" t="str">
        <f>("報銷中")</f>
        <v>報銷中</v>
      </c>
      <c r="AI20" t="s">
        <v>66</v>
      </c>
      <c r="AK20" t="str">
        <f t="shared" si="8"/>
        <v>一般(Normal)</v>
      </c>
      <c r="AO20" t="s">
        <v>65</v>
      </c>
      <c r="AS20" t="str">
        <f>("2000.")</f>
        <v>2000.</v>
      </c>
      <c r="AT20" t="str">
        <f t="shared" si="9"/>
        <v>catc</v>
      </c>
    </row>
    <row r="21" spans="1:46" x14ac:dyDescent="0.25">
      <c r="A21">
        <v>10</v>
      </c>
      <c r="B21" t="str">
        <f>("288939")</f>
        <v>288939</v>
      </c>
      <c r="C21" t="str">
        <f>("W00002046")</f>
        <v>W00002046</v>
      </c>
      <c r="D21" t="str">
        <f>("International economics :global markets and international competition /")</f>
        <v>International economics :global markets and international competition /</v>
      </c>
      <c r="E21" t="str">
        <f>("Thompson, Henry. ")</f>
        <v xml:space="preserve">Thompson, Henry. </v>
      </c>
      <c r="F21" t="str">
        <f>("World Scientific,")</f>
        <v>World Scientific,</v>
      </c>
      <c r="H21" t="str">
        <f t="shared" ref="H21:H84" si="12">("圖書 book")</f>
        <v>圖書 book</v>
      </c>
      <c r="I21" t="str">
        <f>("HF1379 T468 2001")</f>
        <v>HF1379 T468 2001</v>
      </c>
      <c r="J21" t="str">
        <f>("9810243448;9810244533")</f>
        <v>9810243448;9810244533</v>
      </c>
      <c r="K21" t="str">
        <f>("1188")</f>
        <v>1188</v>
      </c>
      <c r="L21" t="str">
        <f t="shared" si="1"/>
        <v>2001/10/10 00:00:00</v>
      </c>
      <c r="M21" t="str">
        <f t="shared" si="10"/>
        <v>2018/08/11 13:33:47</v>
      </c>
      <c r="N21" t="str">
        <f>("2001")</f>
        <v>2001</v>
      </c>
      <c r="O21" t="str">
        <f t="shared" ref="O21:O52" si="13">("4F西文書庫 4F Western Language Books")</f>
        <v>4F西文書庫 4F Western Language Books</v>
      </c>
      <c r="P21" t="s">
        <v>64</v>
      </c>
      <c r="W21" t="str">
        <f t="shared" si="3"/>
        <v>美國國會圖書分類法</v>
      </c>
      <c r="Y21" t="str">
        <f>("HF1379")</f>
        <v>HF1379</v>
      </c>
      <c r="Z21" t="str">
        <f t="shared" si="11"/>
        <v>2018/08/11 13:33:47</v>
      </c>
      <c r="AA21" t="str">
        <f t="shared" si="4"/>
        <v>catc</v>
      </c>
      <c r="AC21" t="str">
        <f>("T468")</f>
        <v>T468</v>
      </c>
      <c r="AE21" t="str">
        <f t="shared" si="5"/>
        <v>c.1</v>
      </c>
      <c r="AF21" t="str">
        <f t="shared" ref="AF21:AF52" si="14">("1.可借圖書")</f>
        <v>1.可借圖書</v>
      </c>
      <c r="AG21" t="str">
        <f t="shared" ref="AG21:AG52" si="15">("在架")</f>
        <v>在架</v>
      </c>
      <c r="AI21" t="s">
        <v>65</v>
      </c>
      <c r="AK21" t="str">
        <f t="shared" si="8"/>
        <v>一般(Normal)</v>
      </c>
      <c r="AO21" t="s">
        <v>65</v>
      </c>
      <c r="AS21" t="str">
        <f>("c2001. ")</f>
        <v xml:space="preserve">c2001. </v>
      </c>
      <c r="AT21" t="str">
        <f t="shared" si="9"/>
        <v>catc</v>
      </c>
    </row>
    <row r="22" spans="1:46" x14ac:dyDescent="0.25">
      <c r="A22">
        <v>11</v>
      </c>
      <c r="B22" t="str">
        <f>("288940")</f>
        <v>288940</v>
      </c>
      <c r="C22" t="str">
        <f>("W00002047")</f>
        <v>W00002047</v>
      </c>
      <c r="D22" t="str">
        <f>("Econometrics :alchemy or science? : essays in econometric methodology /")</f>
        <v>Econometrics :alchemy or science? : essays in econometric methodology /</v>
      </c>
      <c r="E22" t="str">
        <f>("Hendry, David F. ")</f>
        <v xml:space="preserve">Hendry, David F. </v>
      </c>
      <c r="F22" t="str">
        <f>("Oxford University Press,")</f>
        <v>Oxford University Press,</v>
      </c>
      <c r="G22" t="str">
        <f>("New ed. ")</f>
        <v xml:space="preserve">New ed. </v>
      </c>
      <c r="H22" t="str">
        <f t="shared" si="12"/>
        <v>圖書 book</v>
      </c>
      <c r="I22" t="str">
        <f>("HB141 H498 2000")</f>
        <v>HB141 H498 2000</v>
      </c>
      <c r="J22" t="str">
        <f>("0198293542")</f>
        <v>0198293542</v>
      </c>
      <c r="K22" t="str">
        <f>("656")</f>
        <v>656</v>
      </c>
      <c r="L22" t="str">
        <f t="shared" si="1"/>
        <v>2001/10/10 00:00:00</v>
      </c>
      <c r="M22" t="str">
        <f t="shared" si="10"/>
        <v>2018/08/11 13:33:47</v>
      </c>
      <c r="N22" t="str">
        <f>("2000")</f>
        <v>2000</v>
      </c>
      <c r="O22" t="str">
        <f t="shared" si="13"/>
        <v>4F西文書庫 4F Western Language Books</v>
      </c>
      <c r="P22" t="s">
        <v>64</v>
      </c>
      <c r="W22" t="str">
        <f t="shared" si="3"/>
        <v>美國國會圖書分類法</v>
      </c>
      <c r="Y22" t="str">
        <f>("HB141")</f>
        <v>HB141</v>
      </c>
      <c r="Z22" t="str">
        <f t="shared" si="11"/>
        <v>2018/08/11 13:33:47</v>
      </c>
      <c r="AA22" t="str">
        <f t="shared" si="4"/>
        <v>catc</v>
      </c>
      <c r="AC22" t="str">
        <f>("H498")</f>
        <v>H498</v>
      </c>
      <c r="AE22" t="str">
        <f t="shared" si="5"/>
        <v>c.1</v>
      </c>
      <c r="AF22" t="str">
        <f t="shared" si="14"/>
        <v>1.可借圖書</v>
      </c>
      <c r="AG22" t="str">
        <f t="shared" si="15"/>
        <v>在架</v>
      </c>
      <c r="AI22" t="s">
        <v>65</v>
      </c>
      <c r="AK22" t="str">
        <f t="shared" si="8"/>
        <v>一般(Normal)</v>
      </c>
      <c r="AO22" t="s">
        <v>65</v>
      </c>
      <c r="AS22" t="str">
        <f>("2000. ")</f>
        <v xml:space="preserve">2000. </v>
      </c>
      <c r="AT22" t="str">
        <f t="shared" si="9"/>
        <v>catc</v>
      </c>
    </row>
    <row r="23" spans="1:46" x14ac:dyDescent="0.25">
      <c r="A23">
        <v>12</v>
      </c>
      <c r="B23" t="str">
        <f>("288961")</f>
        <v>288961</v>
      </c>
      <c r="C23" t="str">
        <f>("W00002048")</f>
        <v>W00002048</v>
      </c>
      <c r="D23" t="str">
        <f>("War and underdevelopment /")</f>
        <v>War and underdevelopment /</v>
      </c>
      <c r="E23" t="str">
        <f>("Stewart, Frances. ;Fitzgerald, Valpy. ")</f>
        <v xml:space="preserve">Stewart, Frances. ;Fitzgerald, Valpy. </v>
      </c>
      <c r="F23" t="str">
        <f>("Oxford University Press,")</f>
        <v>Oxford University Press,</v>
      </c>
      <c r="H23" t="str">
        <f t="shared" si="12"/>
        <v>圖書 book</v>
      </c>
      <c r="I23" t="str">
        <f>("HC79.D4 S851 2001 v.1")</f>
        <v>HC79.D4 S851 2001 v.1</v>
      </c>
      <c r="J23" t="str">
        <f>("0199241872")</f>
        <v>0199241872</v>
      </c>
      <c r="K23" t="str">
        <f>("792")</f>
        <v>792</v>
      </c>
      <c r="L23" t="str">
        <f t="shared" si="1"/>
        <v>2001/10/10 00:00:00</v>
      </c>
      <c r="M23" t="str">
        <f t="shared" si="10"/>
        <v>2018/08/11 13:33:47</v>
      </c>
      <c r="N23" t="str">
        <f>("2001")</f>
        <v>2001</v>
      </c>
      <c r="O23" t="str">
        <f t="shared" si="13"/>
        <v>4F西文書庫 4F Western Language Books</v>
      </c>
      <c r="P23" t="s">
        <v>64</v>
      </c>
      <c r="W23" t="str">
        <f t="shared" si="3"/>
        <v>美國國會圖書分類法</v>
      </c>
      <c r="Y23" t="str">
        <f>("HC79.D4")</f>
        <v>HC79.D4</v>
      </c>
      <c r="Z23" t="str">
        <f t="shared" si="11"/>
        <v>2018/08/11 13:33:47</v>
      </c>
      <c r="AA23" t="str">
        <f t="shared" si="4"/>
        <v>catc</v>
      </c>
      <c r="AC23" t="str">
        <f>("S851")</f>
        <v>S851</v>
      </c>
      <c r="AD23" t="str">
        <f>("v.1")</f>
        <v>v.1</v>
      </c>
      <c r="AE23" t="str">
        <f t="shared" si="5"/>
        <v>c.1</v>
      </c>
      <c r="AF23" t="str">
        <f t="shared" si="14"/>
        <v>1.可借圖書</v>
      </c>
      <c r="AG23" t="str">
        <f t="shared" si="15"/>
        <v>在架</v>
      </c>
      <c r="AI23" t="s">
        <v>65</v>
      </c>
      <c r="AK23" t="str">
        <f t="shared" si="8"/>
        <v>一般(Normal)</v>
      </c>
      <c r="AO23" t="s">
        <v>65</v>
      </c>
      <c r="AS23" t="str">
        <f>("2001. ")</f>
        <v xml:space="preserve">2001. </v>
      </c>
      <c r="AT23" t="str">
        <f t="shared" si="9"/>
        <v>catc</v>
      </c>
    </row>
    <row r="24" spans="1:46" x14ac:dyDescent="0.25">
      <c r="A24">
        <v>13</v>
      </c>
      <c r="B24" t="str">
        <f>("288961")</f>
        <v>288961</v>
      </c>
      <c r="C24" t="str">
        <f>("W00002049")</f>
        <v>W00002049</v>
      </c>
      <c r="D24" t="str">
        <f>("War and underdevelopment /")</f>
        <v>War and underdevelopment /</v>
      </c>
      <c r="E24" t="str">
        <f>("Stewart, Frances. ;Fitzgerald, Valpy. ")</f>
        <v xml:space="preserve">Stewart, Frances. ;Fitzgerald, Valpy. </v>
      </c>
      <c r="F24" t="str">
        <f>("Oxford University Press,")</f>
        <v>Oxford University Press,</v>
      </c>
      <c r="H24" t="str">
        <f t="shared" si="12"/>
        <v>圖書 book</v>
      </c>
      <c r="I24" t="str">
        <f>("HC79.D4 S851 2001 v.2")</f>
        <v>HC79.D4 S851 2001 v.2</v>
      </c>
      <c r="J24" t="str">
        <f>("0199241872")</f>
        <v>0199241872</v>
      </c>
      <c r="K24" t="str">
        <f>("792")</f>
        <v>792</v>
      </c>
      <c r="L24" t="str">
        <f t="shared" si="1"/>
        <v>2001/10/10 00:00:00</v>
      </c>
      <c r="M24" t="str">
        <f t="shared" si="10"/>
        <v>2018/08/11 13:33:47</v>
      </c>
      <c r="N24" t="str">
        <f>("2001")</f>
        <v>2001</v>
      </c>
      <c r="O24" t="str">
        <f t="shared" si="13"/>
        <v>4F西文書庫 4F Western Language Books</v>
      </c>
      <c r="P24" t="s">
        <v>64</v>
      </c>
      <c r="W24" t="str">
        <f t="shared" si="3"/>
        <v>美國國會圖書分類法</v>
      </c>
      <c r="Y24" t="str">
        <f>("HC79.D4")</f>
        <v>HC79.D4</v>
      </c>
      <c r="Z24" t="str">
        <f t="shared" si="11"/>
        <v>2018/08/11 13:33:47</v>
      </c>
      <c r="AA24" t="str">
        <f t="shared" si="4"/>
        <v>catc</v>
      </c>
      <c r="AC24" t="str">
        <f>("S851")</f>
        <v>S851</v>
      </c>
      <c r="AD24" t="str">
        <f>("v.2")</f>
        <v>v.2</v>
      </c>
      <c r="AE24" t="str">
        <f t="shared" si="5"/>
        <v>c.1</v>
      </c>
      <c r="AF24" t="str">
        <f t="shared" si="14"/>
        <v>1.可借圖書</v>
      </c>
      <c r="AG24" t="str">
        <f t="shared" si="15"/>
        <v>在架</v>
      </c>
      <c r="AI24" t="s">
        <v>65</v>
      </c>
      <c r="AK24" t="str">
        <f t="shared" si="8"/>
        <v>一般(Normal)</v>
      </c>
      <c r="AO24" t="s">
        <v>65</v>
      </c>
      <c r="AS24" t="str">
        <f>("2001. ")</f>
        <v xml:space="preserve">2001. </v>
      </c>
      <c r="AT24" t="str">
        <f t="shared" si="9"/>
        <v>catc</v>
      </c>
    </row>
    <row r="25" spans="1:46" x14ac:dyDescent="0.25">
      <c r="A25">
        <v>14</v>
      </c>
      <c r="B25" t="str">
        <f>("288962")</f>
        <v>288962</v>
      </c>
      <c r="C25" t="str">
        <f>("W00002050")</f>
        <v>W00002050</v>
      </c>
      <c r="D25" t="str">
        <f>("An introduction to the economics of information :incentives and contracts /")</f>
        <v>An introduction to the economics of information :incentives and contracts /</v>
      </c>
      <c r="E25" t="str">
        <f>("Macho-Stadler, Ines ")</f>
        <v xml:space="preserve">Macho-Stadler, Ines </v>
      </c>
      <c r="F25" t="str">
        <f>("Oxford University Press,")</f>
        <v>Oxford University Press,</v>
      </c>
      <c r="G25" t="str">
        <f>("2nd ed ")</f>
        <v xml:space="preserve">2nd ed </v>
      </c>
      <c r="H25" t="str">
        <f t="shared" si="12"/>
        <v>圖書 book</v>
      </c>
      <c r="I25" t="str">
        <f>("HB133 S767 1997")</f>
        <v>HB133 S767 1997</v>
      </c>
      <c r="J25" t="str">
        <f>("0199243255")</f>
        <v>0199243255</v>
      </c>
      <c r="K25" t="str">
        <f>("792")</f>
        <v>792</v>
      </c>
      <c r="L25" t="str">
        <f t="shared" si="1"/>
        <v>2001/10/10 00:00:00</v>
      </c>
      <c r="M25" t="str">
        <f t="shared" si="10"/>
        <v>2018/08/11 13:33:47</v>
      </c>
      <c r="N25" t="str">
        <f>("1997")</f>
        <v>1997</v>
      </c>
      <c r="O25" t="str">
        <f t="shared" si="13"/>
        <v>4F西文書庫 4F Western Language Books</v>
      </c>
      <c r="P25" t="s">
        <v>64</v>
      </c>
      <c r="W25" t="str">
        <f t="shared" si="3"/>
        <v>美國國會圖書分類法</v>
      </c>
      <c r="Y25" t="str">
        <f>("HB133")</f>
        <v>HB133</v>
      </c>
      <c r="Z25" t="str">
        <f t="shared" si="11"/>
        <v>2018/08/11 13:33:47</v>
      </c>
      <c r="AA25" t="str">
        <f t="shared" si="4"/>
        <v>catc</v>
      </c>
      <c r="AC25" t="str">
        <f>("S767")</f>
        <v>S767</v>
      </c>
      <c r="AE25" t="str">
        <f t="shared" si="5"/>
        <v>c.1</v>
      </c>
      <c r="AF25" t="str">
        <f t="shared" si="14"/>
        <v>1.可借圖書</v>
      </c>
      <c r="AG25" t="str">
        <f t="shared" si="15"/>
        <v>在架</v>
      </c>
      <c r="AI25" t="s">
        <v>65</v>
      </c>
      <c r="AK25" t="str">
        <f t="shared" si="8"/>
        <v>一般(Normal)</v>
      </c>
      <c r="AO25" t="s">
        <v>65</v>
      </c>
      <c r="AS25" t="str">
        <f>("2001 ")</f>
        <v xml:space="preserve">2001 </v>
      </c>
      <c r="AT25" t="str">
        <f t="shared" si="9"/>
        <v>catc</v>
      </c>
    </row>
    <row r="26" spans="1:46" x14ac:dyDescent="0.25">
      <c r="A26">
        <v>15</v>
      </c>
      <c r="B26" t="str">
        <f>("288944")</f>
        <v>288944</v>
      </c>
      <c r="C26" t="str">
        <f>("W00002051")</f>
        <v>W00002051</v>
      </c>
      <c r="D26" t="str">
        <f>("Career Frontiers:New Conceptions of Working Lives")</f>
        <v>Career Frontiers:New Conceptions of Working Lives</v>
      </c>
      <c r="E26" t="str">
        <f>("Peiperl Maury A.")</f>
        <v>Peiperl Maury A.</v>
      </c>
      <c r="F26" t="str">
        <f>("Oxford,")</f>
        <v>Oxford,</v>
      </c>
      <c r="H26" t="str">
        <f t="shared" si="12"/>
        <v>圖書 book</v>
      </c>
      <c r="I26" t="str">
        <f>("HD60.5 P377 2000")</f>
        <v>HD60.5 P377 2000</v>
      </c>
      <c r="J26" t="str">
        <f>("0198296924")</f>
        <v>0198296924</v>
      </c>
      <c r="K26" t="str">
        <f>("704")</f>
        <v>704</v>
      </c>
      <c r="L26" t="str">
        <f t="shared" si="1"/>
        <v>2001/10/10 00:00:00</v>
      </c>
      <c r="M26" t="str">
        <f>("2018/08/11 13:33:48")</f>
        <v>2018/08/11 13:33:48</v>
      </c>
      <c r="N26" t="str">
        <f>("2000")</f>
        <v>2000</v>
      </c>
      <c r="O26" t="str">
        <f t="shared" si="13"/>
        <v>4F西文書庫 4F Western Language Books</v>
      </c>
      <c r="P26" t="s">
        <v>64</v>
      </c>
      <c r="W26" t="str">
        <f t="shared" si="3"/>
        <v>美國國會圖書分類法</v>
      </c>
      <c r="Y26" t="str">
        <f>("HD60.5")</f>
        <v>HD60.5</v>
      </c>
      <c r="Z26" t="str">
        <f t="shared" si="11"/>
        <v>2018/08/11 13:33:47</v>
      </c>
      <c r="AA26" t="str">
        <f t="shared" si="4"/>
        <v>catc</v>
      </c>
      <c r="AC26" t="str">
        <f>("P377")</f>
        <v>P377</v>
      </c>
      <c r="AE26" t="str">
        <f t="shared" si="5"/>
        <v>c.1</v>
      </c>
      <c r="AF26" t="str">
        <f t="shared" si="14"/>
        <v>1.可借圖書</v>
      </c>
      <c r="AG26" t="str">
        <f t="shared" si="15"/>
        <v>在架</v>
      </c>
      <c r="AI26" t="s">
        <v>65</v>
      </c>
      <c r="AK26" t="str">
        <f t="shared" si="8"/>
        <v>一般(Normal)</v>
      </c>
      <c r="AO26" t="s">
        <v>65</v>
      </c>
      <c r="AS26" t="str">
        <f>("2000.")</f>
        <v>2000.</v>
      </c>
      <c r="AT26" t="str">
        <f t="shared" si="9"/>
        <v>catc</v>
      </c>
    </row>
    <row r="27" spans="1:46" x14ac:dyDescent="0.25">
      <c r="A27">
        <v>16</v>
      </c>
      <c r="B27" t="str">
        <f>("288945")</f>
        <v>288945</v>
      </c>
      <c r="C27" t="str">
        <f>("W00002052")</f>
        <v>W00002052</v>
      </c>
      <c r="D27" t="str">
        <f>("Handbook for new entrepreneurs /")</f>
        <v>Handbook for new entrepreneurs /</v>
      </c>
      <c r="E27" t="str">
        <f>("Jain, P. C.1949- ")</f>
        <v xml:space="preserve">Jain, P. C.1949- </v>
      </c>
      <c r="F27" t="str">
        <f>("Oxford University Press ;")</f>
        <v>Oxford University Press ;</v>
      </c>
      <c r="H27" t="str">
        <f t="shared" si="12"/>
        <v>圖書 book</v>
      </c>
      <c r="I27" t="str">
        <f>("HD62.5 J11 1998")</f>
        <v>HD62.5 J11 1998</v>
      </c>
      <c r="J27" t="str">
        <f>("019565224X")</f>
        <v>019565224X</v>
      </c>
      <c r="K27" t="str">
        <f>("396")</f>
        <v>396</v>
      </c>
      <c r="L27" t="str">
        <f t="shared" si="1"/>
        <v>2001/10/10 00:00:00</v>
      </c>
      <c r="M27" t="str">
        <f>("2018/08/11 13:33:48")</f>
        <v>2018/08/11 13:33:48</v>
      </c>
      <c r="N27" t="str">
        <f>("1998")</f>
        <v>1998</v>
      </c>
      <c r="O27" t="str">
        <f t="shared" si="13"/>
        <v>4F西文書庫 4F Western Language Books</v>
      </c>
      <c r="P27" t="s">
        <v>64</v>
      </c>
      <c r="W27" t="str">
        <f t="shared" si="3"/>
        <v>美國國會圖書分類法</v>
      </c>
      <c r="Y27" t="str">
        <f>("HD62.5")</f>
        <v>HD62.5</v>
      </c>
      <c r="Z27" t="str">
        <f>("2018/08/11 13:33:48")</f>
        <v>2018/08/11 13:33:48</v>
      </c>
      <c r="AA27" t="str">
        <f t="shared" si="4"/>
        <v>catc</v>
      </c>
      <c r="AC27" t="str">
        <f>("J11")</f>
        <v>J11</v>
      </c>
      <c r="AE27" t="str">
        <f t="shared" si="5"/>
        <v>c.1</v>
      </c>
      <c r="AF27" t="str">
        <f t="shared" si="14"/>
        <v>1.可借圖書</v>
      </c>
      <c r="AG27" t="str">
        <f t="shared" si="15"/>
        <v>在架</v>
      </c>
      <c r="AI27" t="s">
        <v>65</v>
      </c>
      <c r="AK27" t="str">
        <f t="shared" si="8"/>
        <v>一般(Normal)</v>
      </c>
      <c r="AO27" t="s">
        <v>65</v>
      </c>
      <c r="AS27" t="str">
        <f>("1998 ")</f>
        <v xml:space="preserve">1998 </v>
      </c>
      <c r="AT27" t="str">
        <f t="shared" si="9"/>
        <v>catc</v>
      </c>
    </row>
    <row r="28" spans="1:46" x14ac:dyDescent="0.25">
      <c r="A28">
        <v>17</v>
      </c>
      <c r="B28" t="str">
        <f>("288946")</f>
        <v>288946</v>
      </c>
      <c r="C28" t="str">
        <f>("W00002053")</f>
        <v>W00002053</v>
      </c>
      <c r="D28" t="str">
        <f>("Standard And Poo's Mid Cap 400 Guide")</f>
        <v>Standard And Poo's Mid Cap 400 Guide</v>
      </c>
      <c r="E28" t="str">
        <f>("Standard&amp;Poor's")</f>
        <v>Standard&amp;Poor's</v>
      </c>
      <c r="F28" t="str">
        <f>("McGraw-Hill,")</f>
        <v>McGraw-Hill,</v>
      </c>
      <c r="H28" t="str">
        <f t="shared" si="12"/>
        <v>圖書 book</v>
      </c>
      <c r="I28" t="str">
        <f>("HG4651 S785 2001")</f>
        <v>HG4651 S785 2001</v>
      </c>
      <c r="J28" t="str">
        <f>("0071365036")</f>
        <v>0071365036</v>
      </c>
      <c r="K28" t="str">
        <f>("720")</f>
        <v>720</v>
      </c>
      <c r="L28" t="str">
        <f t="shared" si="1"/>
        <v>2001/10/10 00:00:00</v>
      </c>
      <c r="M28" t="str">
        <f>("2018/08/11 13:33:48")</f>
        <v>2018/08/11 13:33:48</v>
      </c>
      <c r="N28" t="str">
        <f>("2001")</f>
        <v>2001</v>
      </c>
      <c r="O28" t="str">
        <f t="shared" si="13"/>
        <v>4F西文書庫 4F Western Language Books</v>
      </c>
      <c r="P28" t="s">
        <v>64</v>
      </c>
      <c r="W28" t="str">
        <f t="shared" si="3"/>
        <v>美國國會圖書分類法</v>
      </c>
      <c r="Y28" t="str">
        <f>("HG4651")</f>
        <v>HG4651</v>
      </c>
      <c r="Z28" t="str">
        <f>("2018/08/11 13:33:48")</f>
        <v>2018/08/11 13:33:48</v>
      </c>
      <c r="AA28" t="str">
        <f t="shared" si="4"/>
        <v>catc</v>
      </c>
      <c r="AC28" t="str">
        <f>("S785")</f>
        <v>S785</v>
      </c>
      <c r="AE28" t="str">
        <f t="shared" si="5"/>
        <v>c.1</v>
      </c>
      <c r="AF28" t="str">
        <f t="shared" si="14"/>
        <v>1.可借圖書</v>
      </c>
      <c r="AG28" t="str">
        <f t="shared" si="15"/>
        <v>在架</v>
      </c>
      <c r="AI28" t="s">
        <v>65</v>
      </c>
      <c r="AK28" t="str">
        <f t="shared" si="8"/>
        <v>一般(Normal)</v>
      </c>
      <c r="AO28" t="s">
        <v>65</v>
      </c>
      <c r="AS28" t="str">
        <f>("2001.")</f>
        <v>2001.</v>
      </c>
      <c r="AT28" t="str">
        <f t="shared" si="9"/>
        <v>catc</v>
      </c>
    </row>
    <row r="29" spans="1:46" x14ac:dyDescent="0.25">
      <c r="A29">
        <v>18</v>
      </c>
      <c r="B29" t="str">
        <f>("288947")</f>
        <v>288947</v>
      </c>
      <c r="C29" t="str">
        <f>("W00002054")</f>
        <v>W00002054</v>
      </c>
      <c r="D29" t="str">
        <f>("Tourism and economic development in Asia and Australasia /")</f>
        <v>Tourism and economic development in Asia and Australasia /</v>
      </c>
      <c r="E29" t="str">
        <f>("Go, Frank M")</f>
        <v>Go, Frank M</v>
      </c>
      <c r="F29" t="str">
        <f>("Cassell,")</f>
        <v>Cassell,</v>
      </c>
      <c r="H29" t="str">
        <f t="shared" si="12"/>
        <v>圖書 book</v>
      </c>
      <c r="I29" t="str">
        <f>("G155 G573 1997")</f>
        <v>G155 G573 1997</v>
      </c>
      <c r="J29" t="str">
        <f>("1855675676")</f>
        <v>1855675676</v>
      </c>
      <c r="K29" t="str">
        <f>("808")</f>
        <v>808</v>
      </c>
      <c r="L29" t="str">
        <f t="shared" si="1"/>
        <v>2001/10/10 00:00:00</v>
      </c>
      <c r="M29" t="str">
        <f>("2018/08/11 13:33:48")</f>
        <v>2018/08/11 13:33:48</v>
      </c>
      <c r="N29" t="str">
        <f>("1997")</f>
        <v>1997</v>
      </c>
      <c r="O29" t="str">
        <f t="shared" si="13"/>
        <v>4F西文書庫 4F Western Language Books</v>
      </c>
      <c r="P29" t="s">
        <v>64</v>
      </c>
      <c r="W29" t="str">
        <f t="shared" si="3"/>
        <v>美國國會圖書分類法</v>
      </c>
      <c r="Y29" t="str">
        <f>("G155")</f>
        <v>G155</v>
      </c>
      <c r="Z29" t="str">
        <f>("2018/08/11 13:33:48")</f>
        <v>2018/08/11 13:33:48</v>
      </c>
      <c r="AA29" t="str">
        <f t="shared" si="4"/>
        <v>catc</v>
      </c>
      <c r="AC29" t="str">
        <f>("G573")</f>
        <v>G573</v>
      </c>
      <c r="AE29" t="str">
        <f t="shared" si="5"/>
        <v>c.1</v>
      </c>
      <c r="AF29" t="str">
        <f t="shared" si="14"/>
        <v>1.可借圖書</v>
      </c>
      <c r="AG29" t="str">
        <f t="shared" si="15"/>
        <v>在架</v>
      </c>
      <c r="AI29" t="s">
        <v>65</v>
      </c>
      <c r="AK29" t="str">
        <f t="shared" si="8"/>
        <v>一般(Normal)</v>
      </c>
      <c r="AO29" t="s">
        <v>65</v>
      </c>
      <c r="AS29" t="str">
        <f>("1997 ")</f>
        <v xml:space="preserve">1997 </v>
      </c>
      <c r="AT29" t="str">
        <f t="shared" si="9"/>
        <v>catc</v>
      </c>
    </row>
    <row r="30" spans="1:46" x14ac:dyDescent="0.25">
      <c r="A30">
        <v>19</v>
      </c>
      <c r="B30" t="str">
        <f>("287491")</f>
        <v>287491</v>
      </c>
      <c r="C30" t="str">
        <f>("W00002055")</f>
        <v>W00002055</v>
      </c>
      <c r="D30" t="str">
        <f>("Common interest, common good :creating value through business and social sector partnerships /")</f>
        <v>Common interest, common good :creating value through business and social sector partnerships /</v>
      </c>
      <c r="E30" t="str">
        <f>("Sagawa, Shirley,1961- ")</f>
        <v xml:space="preserve">Sagawa, Shirley,1961- </v>
      </c>
      <c r="F30" t="str">
        <f>("Harvard Business School Press,")</f>
        <v>Harvard Business School Press,</v>
      </c>
      <c r="H30" t="str">
        <f t="shared" si="12"/>
        <v>圖書 book</v>
      </c>
      <c r="I30" t="str">
        <f>("HD60.5.U5 S129 1999")</f>
        <v>HD60.5.U5 S129 1999</v>
      </c>
      <c r="J30" t="str">
        <f>("0875848486")</f>
        <v>0875848486</v>
      </c>
      <c r="K30" t="str">
        <f>("792")</f>
        <v>792</v>
      </c>
      <c r="L30" t="str">
        <f t="shared" si="1"/>
        <v>2001/10/10 00:00:00</v>
      </c>
      <c r="M30" t="str">
        <f>("2018/08/11 13:31:21")</f>
        <v>2018/08/11 13:31:21</v>
      </c>
      <c r="N30" t="str">
        <f>("1999")</f>
        <v>1999</v>
      </c>
      <c r="O30" t="str">
        <f t="shared" si="13"/>
        <v>4F西文書庫 4F Western Language Books</v>
      </c>
      <c r="P30" t="s">
        <v>64</v>
      </c>
      <c r="S30" t="str">
        <f>("xxv, 278 p. ;")</f>
        <v>xxv, 278 p. ;</v>
      </c>
      <c r="U30" t="str">
        <f>("24 cm. ")</f>
        <v xml:space="preserve">24 cm. </v>
      </c>
      <c r="W30" t="str">
        <f t="shared" si="3"/>
        <v>美國國會圖書分類法</v>
      </c>
      <c r="Y30" t="str">
        <f>("HD60.5.U5")</f>
        <v>HD60.5.U5</v>
      </c>
      <c r="Z30" t="str">
        <f>("2018/08/11 13:31:21")</f>
        <v>2018/08/11 13:31:21</v>
      </c>
      <c r="AA30" t="str">
        <f t="shared" si="4"/>
        <v>catc</v>
      </c>
      <c r="AC30" t="str">
        <f>("S129")</f>
        <v>S129</v>
      </c>
      <c r="AE30" t="str">
        <f t="shared" si="5"/>
        <v>c.1</v>
      </c>
      <c r="AF30" t="str">
        <f t="shared" si="14"/>
        <v>1.可借圖書</v>
      </c>
      <c r="AG30" t="str">
        <f t="shared" si="15"/>
        <v>在架</v>
      </c>
      <c r="AI30" t="s">
        <v>65</v>
      </c>
      <c r="AK30" t="str">
        <f t="shared" si="8"/>
        <v>一般(Normal)</v>
      </c>
      <c r="AO30" t="s">
        <v>65</v>
      </c>
      <c r="AS30" t="str">
        <f>("c2000. ")</f>
        <v xml:space="preserve">c2000. </v>
      </c>
      <c r="AT30" t="str">
        <f t="shared" si="9"/>
        <v>catc</v>
      </c>
    </row>
    <row r="31" spans="1:46" x14ac:dyDescent="0.25">
      <c r="A31">
        <v>20</v>
      </c>
      <c r="B31" t="str">
        <f>("288948")</f>
        <v>288948</v>
      </c>
      <c r="C31" t="str">
        <f>("W00002056")</f>
        <v>W00002056</v>
      </c>
      <c r="D31" t="str">
        <f>("Growing up digital :the rise of the net generation /")</f>
        <v>Growing up digital :the rise of the net generation /</v>
      </c>
      <c r="E31" t="str">
        <f>("Tapscott, Don,1947- ")</f>
        <v xml:space="preserve">Tapscott, Don,1947- </v>
      </c>
      <c r="F31" t="str">
        <f>("McGraw-Hill,")</f>
        <v>McGraw-Hill,</v>
      </c>
      <c r="H31" t="str">
        <f t="shared" si="12"/>
        <v>圖書 book</v>
      </c>
      <c r="I31" t="str">
        <f>("QA76.9 T172 1997")</f>
        <v>QA76.9 T172 1997</v>
      </c>
      <c r="J31" t="str">
        <f>("0070633614")</f>
        <v>0070633614</v>
      </c>
      <c r="K31" t="str">
        <f>("624")</f>
        <v>624</v>
      </c>
      <c r="L31" t="str">
        <f t="shared" si="1"/>
        <v>2001/10/10 00:00:00</v>
      </c>
      <c r="M31" t="str">
        <f>("2018/08/11 13:33:48")</f>
        <v>2018/08/11 13:33:48</v>
      </c>
      <c r="N31" t="str">
        <f>("1997")</f>
        <v>1997</v>
      </c>
      <c r="O31" t="str">
        <f t="shared" si="13"/>
        <v>4F西文書庫 4F Western Language Books</v>
      </c>
      <c r="P31" t="s">
        <v>64</v>
      </c>
      <c r="W31" t="str">
        <f t="shared" si="3"/>
        <v>美國國會圖書分類法</v>
      </c>
      <c r="Y31" t="str">
        <f>("QA76.9")</f>
        <v>QA76.9</v>
      </c>
      <c r="Z31" t="str">
        <f>("2018/08/11 13:33:48")</f>
        <v>2018/08/11 13:33:48</v>
      </c>
      <c r="AA31" t="str">
        <f t="shared" si="4"/>
        <v>catc</v>
      </c>
      <c r="AC31" t="str">
        <f>("T172")</f>
        <v>T172</v>
      </c>
      <c r="AE31" t="str">
        <f t="shared" si="5"/>
        <v>c.1</v>
      </c>
      <c r="AF31" t="str">
        <f t="shared" si="14"/>
        <v>1.可借圖書</v>
      </c>
      <c r="AG31" t="str">
        <f t="shared" si="15"/>
        <v>在架</v>
      </c>
      <c r="AI31" t="s">
        <v>65</v>
      </c>
      <c r="AK31" t="str">
        <f t="shared" si="8"/>
        <v>一般(Normal)</v>
      </c>
      <c r="AO31" t="s">
        <v>65</v>
      </c>
      <c r="AS31" t="str">
        <f>("c1998. ")</f>
        <v xml:space="preserve">c1998. </v>
      </c>
      <c r="AT31" t="str">
        <f t="shared" si="9"/>
        <v>catc</v>
      </c>
    </row>
    <row r="32" spans="1:46" x14ac:dyDescent="0.25">
      <c r="A32">
        <v>21</v>
      </c>
      <c r="B32" t="str">
        <f>("288424")</f>
        <v>288424</v>
      </c>
      <c r="C32" t="str">
        <f>("W00002057")</f>
        <v>W00002057</v>
      </c>
      <c r="D32" t="str">
        <f>("Creating value in the network economy /")</f>
        <v>Creating value in the network economy /</v>
      </c>
      <c r="E32" t="str">
        <f>("Tapscott, Don,1947-")</f>
        <v>Tapscott, Don,1947-</v>
      </c>
      <c r="F32" t="str">
        <f>("Harvard Business School Press,")</f>
        <v>Harvard Business School Press,</v>
      </c>
      <c r="H32" t="str">
        <f t="shared" si="12"/>
        <v>圖書 book</v>
      </c>
      <c r="I32" t="str">
        <f>("HC79.I55 T172-2 1999")</f>
        <v>HC79.I55 T172-2 1999</v>
      </c>
      <c r="J32" t="str">
        <f>("0875849113")</f>
        <v>0875849113</v>
      </c>
      <c r="K32" t="str">
        <f>("864")</f>
        <v>864</v>
      </c>
      <c r="L32" t="str">
        <f t="shared" si="1"/>
        <v>2001/10/10 00:00:00</v>
      </c>
      <c r="M32" t="str">
        <f>("2018/08/11 13:32:57")</f>
        <v>2018/08/11 13:32:57</v>
      </c>
      <c r="N32" t="str">
        <f>("1999")</f>
        <v>1999</v>
      </c>
      <c r="O32" t="str">
        <f t="shared" si="13"/>
        <v>4F西文書庫 4F Western Language Books</v>
      </c>
      <c r="P32" t="s">
        <v>64</v>
      </c>
      <c r="S32" t="str">
        <f>("xxvi, 229 p. :")</f>
        <v>xxvi, 229 p. :</v>
      </c>
      <c r="T32" t="str">
        <f>("ill. ;")</f>
        <v>ill. ;</v>
      </c>
      <c r="U32" t="str">
        <f>("25 cm.")</f>
        <v>25 cm.</v>
      </c>
      <c r="W32" t="str">
        <f t="shared" si="3"/>
        <v>美國國會圖書分類法</v>
      </c>
      <c r="Y32" t="str">
        <f>("HC79.I55")</f>
        <v>HC79.I55</v>
      </c>
      <c r="Z32" t="str">
        <f>("2018/08/11 13:32:57")</f>
        <v>2018/08/11 13:32:57</v>
      </c>
      <c r="AA32" t="str">
        <f t="shared" si="4"/>
        <v>catc</v>
      </c>
      <c r="AC32" t="str">
        <f>("T172-2")</f>
        <v>T172-2</v>
      </c>
      <c r="AE32" t="str">
        <f t="shared" si="5"/>
        <v>c.1</v>
      </c>
      <c r="AF32" t="str">
        <f t="shared" si="14"/>
        <v>1.可借圖書</v>
      </c>
      <c r="AG32" t="str">
        <f t="shared" si="15"/>
        <v>在架</v>
      </c>
      <c r="AI32" t="s">
        <v>65</v>
      </c>
      <c r="AK32" t="str">
        <f t="shared" si="8"/>
        <v>一般(Normal)</v>
      </c>
      <c r="AO32" t="s">
        <v>65</v>
      </c>
      <c r="AS32" t="str">
        <f>("c1999.")</f>
        <v>c1999.</v>
      </c>
      <c r="AT32" t="str">
        <f t="shared" si="9"/>
        <v>catc</v>
      </c>
    </row>
    <row r="33" spans="1:46" x14ac:dyDescent="0.25">
      <c r="A33">
        <v>22</v>
      </c>
      <c r="B33" t="str">
        <f>("288949")</f>
        <v>288949</v>
      </c>
      <c r="C33" t="str">
        <f>("W00002058")</f>
        <v>W00002058</v>
      </c>
      <c r="D33" t="str">
        <f>("Option pricing and portfolio optimization :modern methods of financial mathematics /")</f>
        <v>Option pricing and portfolio optimization :modern methods of financial mathematics /</v>
      </c>
      <c r="E33" t="str">
        <f>("Korn, Ralf. ")</f>
        <v xml:space="preserve">Korn, Ralf. </v>
      </c>
      <c r="F33" t="str">
        <f>("American Mathematical Society,")</f>
        <v>American Mathematical Society,</v>
      </c>
      <c r="H33" t="str">
        <f t="shared" si="12"/>
        <v>圖書 book</v>
      </c>
      <c r="I33" t="str">
        <f>("HG60.24.A3 K84 2001")</f>
        <v>HG60.24.A3 K84 2001</v>
      </c>
      <c r="J33" t="str">
        <f>("0821821237")</f>
        <v>0821821237</v>
      </c>
      <c r="K33" t="str">
        <f>("1044")</f>
        <v>1044</v>
      </c>
      <c r="L33" t="str">
        <f t="shared" si="1"/>
        <v>2001/10/10 00:00:00</v>
      </c>
      <c r="M33" t="str">
        <f t="shared" ref="M33:M39" si="16">("2018/08/11 13:33:48")</f>
        <v>2018/08/11 13:33:48</v>
      </c>
      <c r="N33" t="str">
        <f>("2001")</f>
        <v>2001</v>
      </c>
      <c r="O33" t="str">
        <f t="shared" si="13"/>
        <v>4F西文書庫 4F Western Language Books</v>
      </c>
      <c r="P33" t="s">
        <v>64</v>
      </c>
      <c r="W33" t="str">
        <f t="shared" si="3"/>
        <v>美國國會圖書分類法</v>
      </c>
      <c r="Y33" t="str">
        <f>("HG60.24.A3")</f>
        <v>HG60.24.A3</v>
      </c>
      <c r="Z33" t="str">
        <f t="shared" ref="Z33:Z39" si="17">("2018/08/11 13:33:48")</f>
        <v>2018/08/11 13:33:48</v>
      </c>
      <c r="AA33" t="str">
        <f t="shared" si="4"/>
        <v>catc</v>
      </c>
      <c r="AC33" t="str">
        <f>("K84")</f>
        <v>K84</v>
      </c>
      <c r="AE33" t="str">
        <f t="shared" si="5"/>
        <v>c.1</v>
      </c>
      <c r="AF33" t="str">
        <f t="shared" si="14"/>
        <v>1.可借圖書</v>
      </c>
      <c r="AG33" t="str">
        <f t="shared" si="15"/>
        <v>在架</v>
      </c>
      <c r="AI33" t="s">
        <v>65</v>
      </c>
      <c r="AK33" t="str">
        <f t="shared" si="8"/>
        <v>一般(Normal)</v>
      </c>
      <c r="AO33" t="s">
        <v>65</v>
      </c>
      <c r="AS33" t="str">
        <f>("c2001. ")</f>
        <v xml:space="preserve">c2001. </v>
      </c>
      <c r="AT33" t="str">
        <f t="shared" si="9"/>
        <v>catc</v>
      </c>
    </row>
    <row r="34" spans="1:46" x14ac:dyDescent="0.25">
      <c r="A34">
        <v>23</v>
      </c>
      <c r="B34" t="str">
        <f>("288963")</f>
        <v>288963</v>
      </c>
      <c r="C34" t="str">
        <f>("W00002059")</f>
        <v>W00002059</v>
      </c>
      <c r="D34" t="str">
        <f>("The forward-focused organization :visionary thinking and breakthrough leadership to create your company's future /")</f>
        <v>The forward-focused organization :visionary thinking and breakthrough leadership to create your company's future /</v>
      </c>
      <c r="E34" t="str">
        <f>("Harper, Stephen C. ")</f>
        <v xml:space="preserve">Harper, Stephen C. </v>
      </c>
      <c r="F34" t="str">
        <f>("AMACOM,")</f>
        <v>AMACOM,</v>
      </c>
      <c r="H34" t="str">
        <f t="shared" si="12"/>
        <v>圖書 book</v>
      </c>
      <c r="I34" t="str">
        <f>("HD57.7 H294 2001")</f>
        <v>HD57.7 H294 2001</v>
      </c>
      <c r="J34" t="str">
        <f>("0814406033")</f>
        <v>0814406033</v>
      </c>
      <c r="K34" t="str">
        <f>("828")</f>
        <v>828</v>
      </c>
      <c r="L34" t="str">
        <f t="shared" si="1"/>
        <v>2001/10/10 00:00:00</v>
      </c>
      <c r="M34" t="str">
        <f t="shared" si="16"/>
        <v>2018/08/11 13:33:48</v>
      </c>
      <c r="N34" t="str">
        <f>("2001")</f>
        <v>2001</v>
      </c>
      <c r="O34" t="str">
        <f t="shared" si="13"/>
        <v>4F西文書庫 4F Western Language Books</v>
      </c>
      <c r="P34" t="s">
        <v>64</v>
      </c>
      <c r="W34" t="str">
        <f t="shared" si="3"/>
        <v>美國國會圖書分類法</v>
      </c>
      <c r="Y34" t="str">
        <f>("HD57.7")</f>
        <v>HD57.7</v>
      </c>
      <c r="Z34" t="str">
        <f t="shared" si="17"/>
        <v>2018/08/11 13:33:48</v>
      </c>
      <c r="AA34" t="str">
        <f t="shared" si="4"/>
        <v>catc</v>
      </c>
      <c r="AC34" t="str">
        <f>("H294")</f>
        <v>H294</v>
      </c>
      <c r="AE34" t="str">
        <f t="shared" si="5"/>
        <v>c.1</v>
      </c>
      <c r="AF34" t="str">
        <f t="shared" si="14"/>
        <v>1.可借圖書</v>
      </c>
      <c r="AG34" t="str">
        <f t="shared" si="15"/>
        <v>在架</v>
      </c>
      <c r="AI34" t="s">
        <v>65</v>
      </c>
      <c r="AK34" t="str">
        <f t="shared" si="8"/>
        <v>一般(Normal)</v>
      </c>
      <c r="AO34" t="s">
        <v>65</v>
      </c>
      <c r="AS34" t="str">
        <f>("c2001. ")</f>
        <v xml:space="preserve">c2001. </v>
      </c>
      <c r="AT34" t="str">
        <f t="shared" si="9"/>
        <v>catc</v>
      </c>
    </row>
    <row r="35" spans="1:46" x14ac:dyDescent="0.25">
      <c r="A35">
        <v>24</v>
      </c>
      <c r="B35" t="str">
        <f>("288964")</f>
        <v>288964</v>
      </c>
      <c r="C35" t="str">
        <f>("W00002060")</f>
        <v>W00002060</v>
      </c>
      <c r="D35" t="str">
        <f>("Customer equity :building and managing relationships as valuable assets /")</f>
        <v>Customer equity :building and managing relationships as valuable assets /</v>
      </c>
      <c r="E35" t="str">
        <f>("Blattberg, Robert C.,1942- ")</f>
        <v xml:space="preserve">Blattberg, Robert C.,1942- </v>
      </c>
      <c r="F35" t="str">
        <f>("Harvard Business School Press,")</f>
        <v>Harvard Business School Press,</v>
      </c>
      <c r="H35" t="str">
        <f t="shared" si="12"/>
        <v>圖書 book</v>
      </c>
      <c r="I35" t="str">
        <f>("HF5415.55 B628 2001")</f>
        <v>HF5415.55 B628 2001</v>
      </c>
      <c r="J35" t="str">
        <f>("0875847641")</f>
        <v>0875847641</v>
      </c>
      <c r="K35" t="str">
        <f>("888")</f>
        <v>888</v>
      </c>
      <c r="L35" t="str">
        <f t="shared" si="1"/>
        <v>2001/10/10 00:00:00</v>
      </c>
      <c r="M35" t="str">
        <f t="shared" si="16"/>
        <v>2018/08/11 13:33:48</v>
      </c>
      <c r="N35" t="str">
        <f>("2001")</f>
        <v>2001</v>
      </c>
      <c r="O35" t="str">
        <f t="shared" si="13"/>
        <v>4F西文書庫 4F Western Language Books</v>
      </c>
      <c r="P35" t="s">
        <v>64</v>
      </c>
      <c r="W35" t="str">
        <f t="shared" si="3"/>
        <v>美國國會圖書分類法</v>
      </c>
      <c r="Y35" t="str">
        <f>("HF5415.55")</f>
        <v>HF5415.55</v>
      </c>
      <c r="Z35" t="str">
        <f t="shared" si="17"/>
        <v>2018/08/11 13:33:48</v>
      </c>
      <c r="AA35" t="str">
        <f t="shared" si="4"/>
        <v>catc</v>
      </c>
      <c r="AC35" t="str">
        <f>("B628")</f>
        <v>B628</v>
      </c>
      <c r="AE35" t="str">
        <f t="shared" si="5"/>
        <v>c.1</v>
      </c>
      <c r="AF35" t="str">
        <f t="shared" si="14"/>
        <v>1.可借圖書</v>
      </c>
      <c r="AG35" t="str">
        <f t="shared" si="15"/>
        <v>在架</v>
      </c>
      <c r="AI35" t="s">
        <v>65</v>
      </c>
      <c r="AK35" t="str">
        <f t="shared" si="8"/>
        <v>一般(Normal)</v>
      </c>
      <c r="AO35" t="s">
        <v>65</v>
      </c>
      <c r="AS35" t="str">
        <f>("c2001 ")</f>
        <v xml:space="preserve">c2001 </v>
      </c>
      <c r="AT35" t="str">
        <f t="shared" si="9"/>
        <v>catc</v>
      </c>
    </row>
    <row r="36" spans="1:46" x14ac:dyDescent="0.25">
      <c r="A36">
        <v>25</v>
      </c>
      <c r="B36" t="str">
        <f>("288965")</f>
        <v>288965</v>
      </c>
      <c r="C36" t="str">
        <f>("W00002061")</f>
        <v>W00002061</v>
      </c>
      <c r="D36" t="str">
        <f>("Digital deals :strategies for selecting and structuring partnerships /")</f>
        <v>Digital deals :strategies for selecting and structuring partnerships /</v>
      </c>
      <c r="E36" t="str">
        <f>("Geis, George T ")</f>
        <v xml:space="preserve">Geis, George T </v>
      </c>
      <c r="F36" t="str">
        <f>("McGraw-Hill,")</f>
        <v>McGraw-Hill,</v>
      </c>
      <c r="H36" t="str">
        <f t="shared" si="12"/>
        <v>圖書 book</v>
      </c>
      <c r="I36" t="str">
        <f>("HD69.S8 G313 2001")</f>
        <v>HD69.S8 G313 2001</v>
      </c>
      <c r="J36" t="str">
        <f>("0071374973")</f>
        <v>0071374973</v>
      </c>
      <c r="K36" t="str">
        <f>("828")</f>
        <v>828</v>
      </c>
      <c r="L36" t="str">
        <f t="shared" si="1"/>
        <v>2001/10/10 00:00:00</v>
      </c>
      <c r="M36" t="str">
        <f t="shared" si="16"/>
        <v>2018/08/11 13:33:48</v>
      </c>
      <c r="N36" t="str">
        <f>("2001")</f>
        <v>2001</v>
      </c>
      <c r="O36" t="str">
        <f t="shared" si="13"/>
        <v>4F西文書庫 4F Western Language Books</v>
      </c>
      <c r="P36" t="s">
        <v>64</v>
      </c>
      <c r="W36" t="str">
        <f t="shared" si="3"/>
        <v>美國國會圖書分類法</v>
      </c>
      <c r="Y36" t="str">
        <f>("HD69.S8")</f>
        <v>HD69.S8</v>
      </c>
      <c r="Z36" t="str">
        <f t="shared" si="17"/>
        <v>2018/08/11 13:33:48</v>
      </c>
      <c r="AA36" t="str">
        <f t="shared" si="4"/>
        <v>catc</v>
      </c>
      <c r="AC36" t="str">
        <f>("G313")</f>
        <v>G313</v>
      </c>
      <c r="AE36" t="str">
        <f t="shared" si="5"/>
        <v>c.1</v>
      </c>
      <c r="AF36" t="str">
        <f t="shared" si="14"/>
        <v>1.可借圖書</v>
      </c>
      <c r="AG36" t="str">
        <f t="shared" si="15"/>
        <v>在架</v>
      </c>
      <c r="AI36" t="s">
        <v>65</v>
      </c>
      <c r="AK36" t="str">
        <f t="shared" si="8"/>
        <v>一般(Normal)</v>
      </c>
      <c r="AO36" t="s">
        <v>65</v>
      </c>
      <c r="AS36" t="str">
        <f>("2001 ")</f>
        <v xml:space="preserve">2001 </v>
      </c>
      <c r="AT36" t="str">
        <f t="shared" si="9"/>
        <v>catc</v>
      </c>
    </row>
    <row r="37" spans="1:46" x14ac:dyDescent="0.25">
      <c r="A37">
        <v>26</v>
      </c>
      <c r="B37" t="str">
        <f>("288966")</f>
        <v>288966</v>
      </c>
      <c r="C37" t="str">
        <f>("W00002062")</f>
        <v>W00002062</v>
      </c>
      <c r="D37" t="str">
        <f>("The 108 skills of natural born leaders /")</f>
        <v>The 108 skills of natural born leaders /</v>
      </c>
      <c r="E37" t="str">
        <f>("Blank, Warren. ")</f>
        <v xml:space="preserve">Blank, Warren. </v>
      </c>
      <c r="F37" t="str">
        <f>("AMACOM,")</f>
        <v>AMACOM,</v>
      </c>
      <c r="H37" t="str">
        <f t="shared" si="12"/>
        <v>圖書 book</v>
      </c>
      <c r="I37" t="str">
        <f>("HD57.7 B638 2001")</f>
        <v>HD57.7 B638 2001</v>
      </c>
      <c r="J37" t="str">
        <f>("0814406467")</f>
        <v>0814406467</v>
      </c>
      <c r="K37" t="str">
        <f>("740")</f>
        <v>740</v>
      </c>
      <c r="L37" t="str">
        <f t="shared" si="1"/>
        <v>2001/10/10 00:00:00</v>
      </c>
      <c r="M37" t="str">
        <f t="shared" si="16"/>
        <v>2018/08/11 13:33:48</v>
      </c>
      <c r="N37" t="str">
        <f>("2001")</f>
        <v>2001</v>
      </c>
      <c r="O37" t="str">
        <f t="shared" si="13"/>
        <v>4F西文書庫 4F Western Language Books</v>
      </c>
      <c r="P37" t="s">
        <v>64</v>
      </c>
      <c r="W37" t="str">
        <f t="shared" si="3"/>
        <v>美國國會圖書分類法</v>
      </c>
      <c r="Y37" t="str">
        <f>("HD57.7")</f>
        <v>HD57.7</v>
      </c>
      <c r="Z37" t="str">
        <f t="shared" si="17"/>
        <v>2018/08/11 13:33:48</v>
      </c>
      <c r="AA37" t="str">
        <f t="shared" si="4"/>
        <v>catc</v>
      </c>
      <c r="AC37" t="str">
        <f>("B638")</f>
        <v>B638</v>
      </c>
      <c r="AE37" t="str">
        <f t="shared" si="5"/>
        <v>c.1</v>
      </c>
      <c r="AF37" t="str">
        <f t="shared" si="14"/>
        <v>1.可借圖書</v>
      </c>
      <c r="AG37" t="str">
        <f t="shared" si="15"/>
        <v>在架</v>
      </c>
      <c r="AI37" t="s">
        <v>65</v>
      </c>
      <c r="AK37" t="str">
        <f t="shared" si="8"/>
        <v>一般(Normal)</v>
      </c>
      <c r="AO37" t="s">
        <v>65</v>
      </c>
      <c r="AS37" t="str">
        <f>("c2001. ")</f>
        <v xml:space="preserve">c2001. </v>
      </c>
      <c r="AT37" t="str">
        <f t="shared" si="9"/>
        <v>catc</v>
      </c>
    </row>
    <row r="38" spans="1:46" x14ac:dyDescent="0.25">
      <c r="A38">
        <v>27</v>
      </c>
      <c r="B38" t="str">
        <f>("288967")</f>
        <v>288967</v>
      </c>
      <c r="C38" t="str">
        <f>("W00002063")</f>
        <v>W00002063</v>
      </c>
      <c r="D38" t="str">
        <f>("Effective planning in training and development /")</f>
        <v>Effective planning in training and development /</v>
      </c>
      <c r="E38" t="str">
        <f>("Rae, Leslie ")</f>
        <v xml:space="preserve">Rae, Leslie </v>
      </c>
      <c r="F38" t="str">
        <f>("Kogan Page,")</f>
        <v>Kogan Page,</v>
      </c>
      <c r="H38" t="str">
        <f t="shared" si="12"/>
        <v>圖書 book</v>
      </c>
      <c r="I38" t="str">
        <f>("HF5549.5.T7 R134 2000")</f>
        <v>HF5549.5.T7 R134 2000</v>
      </c>
      <c r="J38" t="str">
        <f>("0749433590")</f>
        <v>0749433590</v>
      </c>
      <c r="K38" t="str">
        <f>("832")</f>
        <v>832</v>
      </c>
      <c r="L38" t="str">
        <f t="shared" si="1"/>
        <v>2001/10/10 00:00:00</v>
      </c>
      <c r="M38" t="str">
        <f t="shared" si="16"/>
        <v>2018/08/11 13:33:48</v>
      </c>
      <c r="N38" t="str">
        <f>("2000")</f>
        <v>2000</v>
      </c>
      <c r="O38" t="str">
        <f t="shared" si="13"/>
        <v>4F西文書庫 4F Western Language Books</v>
      </c>
      <c r="P38" t="s">
        <v>64</v>
      </c>
      <c r="W38" t="str">
        <f t="shared" si="3"/>
        <v>美國國會圖書分類法</v>
      </c>
      <c r="Y38" t="str">
        <f>("HF5549.5.T7")</f>
        <v>HF5549.5.T7</v>
      </c>
      <c r="Z38" t="str">
        <f t="shared" si="17"/>
        <v>2018/08/11 13:33:48</v>
      </c>
      <c r="AA38" t="str">
        <f t="shared" si="4"/>
        <v>catc</v>
      </c>
      <c r="AC38" t="str">
        <f>("R134")</f>
        <v>R134</v>
      </c>
      <c r="AE38" t="str">
        <f t="shared" si="5"/>
        <v>c.1</v>
      </c>
      <c r="AF38" t="str">
        <f t="shared" si="14"/>
        <v>1.可借圖書</v>
      </c>
      <c r="AG38" t="str">
        <f t="shared" si="15"/>
        <v>在架</v>
      </c>
      <c r="AI38" t="s">
        <v>65</v>
      </c>
      <c r="AK38" t="str">
        <f t="shared" si="8"/>
        <v>一般(Normal)</v>
      </c>
      <c r="AO38" t="s">
        <v>65</v>
      </c>
      <c r="AS38" t="str">
        <f>("2000 ")</f>
        <v xml:space="preserve">2000 </v>
      </c>
      <c r="AT38" t="str">
        <f t="shared" si="9"/>
        <v>catc</v>
      </c>
    </row>
    <row r="39" spans="1:46" x14ac:dyDescent="0.25">
      <c r="A39">
        <v>28</v>
      </c>
      <c r="B39" t="str">
        <f>("288968")</f>
        <v>288968</v>
      </c>
      <c r="C39" t="str">
        <f>("W00002064")</f>
        <v>W00002064</v>
      </c>
      <c r="D39" t="str">
        <f>("The theory and practice of training /")</f>
        <v>The theory and practice of training /</v>
      </c>
      <c r="E39" t="str">
        <f>("Buckley, Roger,1944- ")</f>
        <v xml:space="preserve">Buckley, Roger,1944- </v>
      </c>
      <c r="F39" t="str">
        <f>("University Associates,")</f>
        <v>University Associates,</v>
      </c>
      <c r="H39" t="str">
        <f t="shared" si="12"/>
        <v>圖書 book</v>
      </c>
      <c r="I39" t="str">
        <f>("HF5549.5.T7 B924 2000")</f>
        <v>HF5549.5.T7 B924 2000</v>
      </c>
      <c r="J39" t="str">
        <f>("0749431997")</f>
        <v>0749431997</v>
      </c>
      <c r="K39" t="str">
        <f>("936")</f>
        <v>936</v>
      </c>
      <c r="L39" t="str">
        <f t="shared" si="1"/>
        <v>2001/10/10 00:00:00</v>
      </c>
      <c r="M39" t="str">
        <f t="shared" si="16"/>
        <v>2018/08/11 13:33:48</v>
      </c>
      <c r="N39" t="str">
        <f>("2000")</f>
        <v>2000</v>
      </c>
      <c r="O39" t="str">
        <f t="shared" si="13"/>
        <v>4F西文書庫 4F Western Language Books</v>
      </c>
      <c r="P39" t="s">
        <v>64</v>
      </c>
      <c r="W39" t="str">
        <f t="shared" si="3"/>
        <v>美國國會圖書分類法</v>
      </c>
      <c r="Y39" t="str">
        <f>("HF5549.5.T7")</f>
        <v>HF5549.5.T7</v>
      </c>
      <c r="Z39" t="str">
        <f t="shared" si="17"/>
        <v>2018/08/11 13:33:48</v>
      </c>
      <c r="AA39" t="str">
        <f t="shared" si="4"/>
        <v>catc</v>
      </c>
      <c r="AC39" t="str">
        <f>("B924")</f>
        <v>B924</v>
      </c>
      <c r="AE39" t="str">
        <f t="shared" si="5"/>
        <v>c.1</v>
      </c>
      <c r="AF39" t="str">
        <f t="shared" si="14"/>
        <v>1.可借圖書</v>
      </c>
      <c r="AG39" t="str">
        <f t="shared" si="15"/>
        <v>在架</v>
      </c>
      <c r="AI39" t="s">
        <v>65</v>
      </c>
      <c r="AK39" t="str">
        <f t="shared" si="8"/>
        <v>一般(Normal)</v>
      </c>
      <c r="AO39" t="s">
        <v>65</v>
      </c>
      <c r="AS39" t="str">
        <f>("c1990 ")</f>
        <v xml:space="preserve">c1990 </v>
      </c>
      <c r="AT39" t="str">
        <f t="shared" si="9"/>
        <v>catc</v>
      </c>
    </row>
    <row r="40" spans="1:46" x14ac:dyDescent="0.25">
      <c r="A40">
        <v>29</v>
      </c>
      <c r="B40" t="str">
        <f>("288969")</f>
        <v>288969</v>
      </c>
      <c r="C40" t="str">
        <f>("W00002065")</f>
        <v>W00002065</v>
      </c>
      <c r="D40" t="str">
        <f>("Information for innovation :managing change from an information perspective /")</f>
        <v>Information for innovation :managing change from an information perspective /</v>
      </c>
      <c r="E40" t="str">
        <f>("Macdonald, Stuart,1946- ")</f>
        <v xml:space="preserve">Macdonald, Stuart,1946- </v>
      </c>
      <c r="F40" t="str">
        <f>("Oxford University Press,")</f>
        <v>Oxford University Press,</v>
      </c>
      <c r="H40" t="str">
        <f t="shared" si="12"/>
        <v>圖書 book</v>
      </c>
      <c r="I40" t="str">
        <f>("HD30.2 M135 1998")</f>
        <v>HD30.2 M135 1998</v>
      </c>
      <c r="J40" t="str">
        <f>("199241473")</f>
        <v>199241473</v>
      </c>
      <c r="K40" t="str">
        <f>("704")</f>
        <v>704</v>
      </c>
      <c r="L40" t="str">
        <f t="shared" si="1"/>
        <v>2001/10/10 00:00:00</v>
      </c>
      <c r="M40" t="str">
        <f t="shared" ref="M40:M51" si="18">("2018/08/11 13:33:49")</f>
        <v>2018/08/11 13:33:49</v>
      </c>
      <c r="N40" t="str">
        <f>("1998")</f>
        <v>1998</v>
      </c>
      <c r="O40" t="str">
        <f t="shared" si="13"/>
        <v>4F西文書庫 4F Western Language Books</v>
      </c>
      <c r="P40" t="s">
        <v>64</v>
      </c>
      <c r="W40" t="str">
        <f t="shared" si="3"/>
        <v>美國國會圖書分類法</v>
      </c>
      <c r="Y40" t="str">
        <f>("HD30.2")</f>
        <v>HD30.2</v>
      </c>
      <c r="Z40" t="str">
        <f t="shared" ref="Z40:Z51" si="19">("2018/08/11 13:33:49")</f>
        <v>2018/08/11 13:33:49</v>
      </c>
      <c r="AA40" t="str">
        <f t="shared" si="4"/>
        <v>catc</v>
      </c>
      <c r="AC40" t="str">
        <f>("M135")</f>
        <v>M135</v>
      </c>
      <c r="AE40" t="str">
        <f t="shared" si="5"/>
        <v>c.1</v>
      </c>
      <c r="AF40" t="str">
        <f t="shared" si="14"/>
        <v>1.可借圖書</v>
      </c>
      <c r="AG40" t="str">
        <f t="shared" si="15"/>
        <v>在架</v>
      </c>
      <c r="AI40" t="s">
        <v>65</v>
      </c>
      <c r="AK40" t="str">
        <f t="shared" si="8"/>
        <v>一般(Normal)</v>
      </c>
      <c r="AO40" t="s">
        <v>65</v>
      </c>
      <c r="AS40" t="str">
        <f>("2000 ")</f>
        <v xml:space="preserve">2000 </v>
      </c>
      <c r="AT40" t="str">
        <f t="shared" si="9"/>
        <v>catc</v>
      </c>
    </row>
    <row r="41" spans="1:46" x14ac:dyDescent="0.25">
      <c r="A41">
        <v>30</v>
      </c>
      <c r="B41" t="str">
        <f>("288970")</f>
        <v>288970</v>
      </c>
      <c r="C41" t="str">
        <f>("W00002066")</f>
        <v>W00002066</v>
      </c>
      <c r="D41" t="str">
        <f>("Do you dot-com? :a field guide to understanding life at an Internet company /")</f>
        <v>Do you dot-com? :a field guide to understanding life at an Internet company /</v>
      </c>
      <c r="E41" t="str">
        <f>("Carlson, Gustav. ")</f>
        <v xml:space="preserve">Carlson, Gustav. </v>
      </c>
      <c r="F41" t="str">
        <f>("AMACOM,")</f>
        <v>AMACOM,</v>
      </c>
      <c r="G41" t="str">
        <f>("First edition. ")</f>
        <v xml:space="preserve">First edition. </v>
      </c>
      <c r="H41" t="str">
        <f t="shared" si="12"/>
        <v>圖書 book</v>
      </c>
      <c r="I41" t="str">
        <f>("HF5549 C278 2001")</f>
        <v>HF5549 C278 2001</v>
      </c>
      <c r="J41" t="str">
        <f>("081447103X")</f>
        <v>081447103X</v>
      </c>
      <c r="K41" t="str">
        <f>("532")</f>
        <v>532</v>
      </c>
      <c r="L41" t="str">
        <f t="shared" si="1"/>
        <v>2001/10/10 00:00:00</v>
      </c>
      <c r="M41" t="str">
        <f t="shared" si="18"/>
        <v>2018/08/11 13:33:49</v>
      </c>
      <c r="N41" t="str">
        <f>("2001")</f>
        <v>2001</v>
      </c>
      <c r="O41" t="str">
        <f t="shared" si="13"/>
        <v>4F西文書庫 4F Western Language Books</v>
      </c>
      <c r="P41" t="s">
        <v>64</v>
      </c>
      <c r="W41" t="str">
        <f t="shared" si="3"/>
        <v>美國國會圖書分類法</v>
      </c>
      <c r="Y41" t="str">
        <f>("HF5549")</f>
        <v>HF5549</v>
      </c>
      <c r="Z41" t="str">
        <f t="shared" si="19"/>
        <v>2018/08/11 13:33:49</v>
      </c>
      <c r="AA41" t="str">
        <f t="shared" si="4"/>
        <v>catc</v>
      </c>
      <c r="AC41" t="str">
        <f>("C278")</f>
        <v>C278</v>
      </c>
      <c r="AE41" t="str">
        <f t="shared" si="5"/>
        <v>c.1</v>
      </c>
      <c r="AF41" t="str">
        <f t="shared" si="14"/>
        <v>1.可借圖書</v>
      </c>
      <c r="AG41" t="str">
        <f t="shared" si="15"/>
        <v>在架</v>
      </c>
      <c r="AI41" t="s">
        <v>65</v>
      </c>
      <c r="AK41" t="str">
        <f t="shared" si="8"/>
        <v>一般(Normal)</v>
      </c>
      <c r="AO41" t="s">
        <v>65</v>
      </c>
      <c r="AS41" t="str">
        <f>("c2001. ")</f>
        <v xml:space="preserve">c2001. </v>
      </c>
      <c r="AT41" t="str">
        <f t="shared" si="9"/>
        <v>catc</v>
      </c>
    </row>
    <row r="42" spans="1:46" x14ac:dyDescent="0.25">
      <c r="A42">
        <v>31</v>
      </c>
      <c r="B42" t="str">
        <f>("288971")</f>
        <v>288971</v>
      </c>
      <c r="C42" t="str">
        <f>("W00002067")</f>
        <v>W00002067</v>
      </c>
      <c r="D42" t="str">
        <f>("From needs assessment to action :transforming needs into solution strategies /")</f>
        <v>From needs assessment to action :transforming needs into solution strategies /</v>
      </c>
      <c r="E42" t="str">
        <f>("Altschuld, James W. ")</f>
        <v xml:space="preserve">Altschuld, James W. </v>
      </c>
      <c r="F42" t="str">
        <f>("Sage Publications,")</f>
        <v>Sage Publications,</v>
      </c>
      <c r="H42" t="str">
        <f t="shared" si="12"/>
        <v>圖書 book</v>
      </c>
      <c r="I42" t="str">
        <f>("HD30.28 A465 2000")</f>
        <v>HD30.28 A465 2000</v>
      </c>
      <c r="J42" t="str">
        <f>("076190932X")</f>
        <v>076190932X</v>
      </c>
      <c r="K42" t="str">
        <f>("1012")</f>
        <v>1012</v>
      </c>
      <c r="L42" t="str">
        <f t="shared" si="1"/>
        <v>2001/10/10 00:00:00</v>
      </c>
      <c r="M42" t="str">
        <f t="shared" si="18"/>
        <v>2018/08/11 13:33:49</v>
      </c>
      <c r="N42" t="str">
        <f>("2000")</f>
        <v>2000</v>
      </c>
      <c r="O42" t="str">
        <f t="shared" si="13"/>
        <v>4F西文書庫 4F Western Language Books</v>
      </c>
      <c r="P42" t="s">
        <v>64</v>
      </c>
      <c r="W42" t="str">
        <f t="shared" si="3"/>
        <v>美國國會圖書分類法</v>
      </c>
      <c r="Y42" t="str">
        <f>("HD30.28")</f>
        <v>HD30.28</v>
      </c>
      <c r="Z42" t="str">
        <f t="shared" si="19"/>
        <v>2018/08/11 13:33:49</v>
      </c>
      <c r="AA42" t="str">
        <f t="shared" si="4"/>
        <v>catc</v>
      </c>
      <c r="AC42" t="str">
        <f>("A465")</f>
        <v>A465</v>
      </c>
      <c r="AE42" t="str">
        <f t="shared" si="5"/>
        <v>c.1</v>
      </c>
      <c r="AF42" t="str">
        <f t="shared" si="14"/>
        <v>1.可借圖書</v>
      </c>
      <c r="AG42" t="str">
        <f t="shared" si="15"/>
        <v>在架</v>
      </c>
      <c r="AI42" t="s">
        <v>65</v>
      </c>
      <c r="AK42" t="str">
        <f t="shared" si="8"/>
        <v>一般(Normal)</v>
      </c>
      <c r="AO42" t="s">
        <v>65</v>
      </c>
      <c r="AS42" t="str">
        <f>("c2000. ")</f>
        <v xml:space="preserve">c2000. </v>
      </c>
      <c r="AT42" t="str">
        <f t="shared" si="9"/>
        <v>catc</v>
      </c>
    </row>
    <row r="43" spans="1:46" x14ac:dyDescent="0.25">
      <c r="A43">
        <v>32</v>
      </c>
      <c r="B43" t="str">
        <f>("288972")</f>
        <v>288972</v>
      </c>
      <c r="C43" t="str">
        <f>("W00002068")</f>
        <v>W00002068</v>
      </c>
      <c r="D43" t="str">
        <f>("E-service :24 ways to keep your customers when the competition is just a click away /")</f>
        <v>E-service :24 ways to keep your customers when the competition is just a click away /</v>
      </c>
      <c r="E43" t="str">
        <f>("Zemke, Ron. ")</f>
        <v xml:space="preserve">Zemke, Ron. </v>
      </c>
      <c r="F43" t="str">
        <f>("AMACOM, American Management Association,")</f>
        <v>AMACOM, American Management Association,</v>
      </c>
      <c r="H43" t="str">
        <f t="shared" si="12"/>
        <v>圖書 book</v>
      </c>
      <c r="I43" t="str">
        <f>("HF5415.525 Z41 2001")</f>
        <v>HF5415.525 Z41 2001</v>
      </c>
      <c r="J43" t="str">
        <f>("0814406068")</f>
        <v>0814406068</v>
      </c>
      <c r="K43" t="str">
        <f>("740")</f>
        <v>740</v>
      </c>
      <c r="L43" t="str">
        <f t="shared" si="1"/>
        <v>2001/10/10 00:00:00</v>
      </c>
      <c r="M43" t="str">
        <f t="shared" si="18"/>
        <v>2018/08/11 13:33:49</v>
      </c>
      <c r="N43" t="str">
        <f>("2001")</f>
        <v>2001</v>
      </c>
      <c r="O43" t="str">
        <f t="shared" si="13"/>
        <v>4F西文書庫 4F Western Language Books</v>
      </c>
      <c r="P43" t="s">
        <v>64</v>
      </c>
      <c r="W43" t="str">
        <f t="shared" si="3"/>
        <v>美國國會圖書分類法</v>
      </c>
      <c r="Y43" t="str">
        <f>("HF5415.525")</f>
        <v>HF5415.525</v>
      </c>
      <c r="Z43" t="str">
        <f t="shared" si="19"/>
        <v>2018/08/11 13:33:49</v>
      </c>
      <c r="AA43" t="str">
        <f t="shared" si="4"/>
        <v>catc</v>
      </c>
      <c r="AC43" t="str">
        <f>("Z41")</f>
        <v>Z41</v>
      </c>
      <c r="AE43" t="str">
        <f t="shared" si="5"/>
        <v>c.1</v>
      </c>
      <c r="AF43" t="str">
        <f t="shared" si="14"/>
        <v>1.可借圖書</v>
      </c>
      <c r="AG43" t="str">
        <f t="shared" si="15"/>
        <v>在架</v>
      </c>
      <c r="AI43" t="s">
        <v>65</v>
      </c>
      <c r="AK43" t="str">
        <f t="shared" si="8"/>
        <v>一般(Normal)</v>
      </c>
      <c r="AO43" t="s">
        <v>65</v>
      </c>
      <c r="AS43" t="str">
        <f>("2001. ")</f>
        <v xml:space="preserve">2001. </v>
      </c>
      <c r="AT43" t="str">
        <f t="shared" si="9"/>
        <v>catc</v>
      </c>
    </row>
    <row r="44" spans="1:46" x14ac:dyDescent="0.25">
      <c r="A44">
        <v>33</v>
      </c>
      <c r="B44" t="str">
        <f>("288973")</f>
        <v>288973</v>
      </c>
      <c r="C44" t="str">
        <f>("W00002069")</f>
        <v>W00002069</v>
      </c>
      <c r="D44" t="str">
        <f>("Information technology and organizations :strategies, networks, and integration /")</f>
        <v>Information technology and organizations :strategies, networks, and integration /</v>
      </c>
      <c r="E44" t="str">
        <f>("Bloomfield, Brian P ")</f>
        <v xml:space="preserve">Bloomfield, Brian P </v>
      </c>
      <c r="F44" t="str">
        <f>("Oxford University Press,")</f>
        <v>Oxford University Press,</v>
      </c>
      <c r="H44" t="str">
        <f t="shared" si="12"/>
        <v>圖書 book</v>
      </c>
      <c r="I44" t="str">
        <f>("T58.5 B655 1999")</f>
        <v>T58.5 B655 1999</v>
      </c>
      <c r="J44" t="str">
        <f>("0198296118")</f>
        <v>0198296118</v>
      </c>
      <c r="K44" t="str">
        <f>("748")</f>
        <v>748</v>
      </c>
      <c r="L44" t="str">
        <f t="shared" si="1"/>
        <v>2001/10/10 00:00:00</v>
      </c>
      <c r="M44" t="str">
        <f t="shared" si="18"/>
        <v>2018/08/11 13:33:49</v>
      </c>
      <c r="N44" t="str">
        <f>("1999")</f>
        <v>1999</v>
      </c>
      <c r="O44" t="str">
        <f t="shared" si="13"/>
        <v>4F西文書庫 4F Western Language Books</v>
      </c>
      <c r="P44" t="s">
        <v>64</v>
      </c>
      <c r="W44" t="str">
        <f t="shared" ref="W44:W75" si="20">("美國國會圖書分類法")</f>
        <v>美國國會圖書分類法</v>
      </c>
      <c r="Y44" t="str">
        <f>("T58.5")</f>
        <v>T58.5</v>
      </c>
      <c r="Z44" t="str">
        <f t="shared" si="19"/>
        <v>2018/08/11 13:33:49</v>
      </c>
      <c r="AA44" t="str">
        <f t="shared" si="4"/>
        <v>catc</v>
      </c>
      <c r="AC44" t="str">
        <f>("B655")</f>
        <v>B655</v>
      </c>
      <c r="AE44" t="str">
        <f t="shared" ref="AE44:AE78" si="21">("c.1")</f>
        <v>c.1</v>
      </c>
      <c r="AF44" t="str">
        <f t="shared" si="14"/>
        <v>1.可借圖書</v>
      </c>
      <c r="AG44" t="str">
        <f t="shared" si="15"/>
        <v>在架</v>
      </c>
      <c r="AI44" t="s">
        <v>65</v>
      </c>
      <c r="AK44" t="str">
        <f t="shared" si="8"/>
        <v>一般(Normal)</v>
      </c>
      <c r="AO44" t="s">
        <v>65</v>
      </c>
      <c r="AS44" t="str">
        <f>("2000 ")</f>
        <v xml:space="preserve">2000 </v>
      </c>
      <c r="AT44" t="str">
        <f t="shared" si="9"/>
        <v>catc</v>
      </c>
    </row>
    <row r="45" spans="1:46" x14ac:dyDescent="0.25">
      <c r="A45">
        <v>34</v>
      </c>
      <c r="B45" t="str">
        <f>("288974")</f>
        <v>288974</v>
      </c>
      <c r="C45" t="str">
        <f>("W00002070")</f>
        <v>W00002070</v>
      </c>
      <c r="D45" t="str">
        <f>("Is it always right to be right? :a tale of transforming workplace conflict into creativity and collaboration / ")</f>
        <v xml:space="preserve">Is it always right to be right? :a tale of transforming workplace conflict into creativity and collaboration / </v>
      </c>
      <c r="E45" t="str">
        <f>("Schmidt, Warren H. ")</f>
        <v xml:space="preserve">Schmidt, Warren H. </v>
      </c>
      <c r="F45" t="str">
        <f>("AMACOM,")</f>
        <v>AMACOM,</v>
      </c>
      <c r="H45" t="str">
        <f t="shared" si="12"/>
        <v>圖書 book</v>
      </c>
      <c r="I45" t="str">
        <f>("HD42 S349 2001")</f>
        <v>HD42 S349 2001</v>
      </c>
      <c r="J45" t="str">
        <f>("0814470955")</f>
        <v>0814470955</v>
      </c>
      <c r="K45" t="str">
        <f>("504")</f>
        <v>504</v>
      </c>
      <c r="L45" t="str">
        <f t="shared" si="1"/>
        <v>2001/10/10 00:00:00</v>
      </c>
      <c r="M45" t="str">
        <f t="shared" si="18"/>
        <v>2018/08/11 13:33:49</v>
      </c>
      <c r="N45" t="str">
        <f>("2001")</f>
        <v>2001</v>
      </c>
      <c r="O45" t="str">
        <f t="shared" si="13"/>
        <v>4F西文書庫 4F Western Language Books</v>
      </c>
      <c r="P45" t="s">
        <v>64</v>
      </c>
      <c r="W45" t="str">
        <f t="shared" si="20"/>
        <v>美國國會圖書分類法</v>
      </c>
      <c r="Y45" t="str">
        <f>("HD42")</f>
        <v>HD42</v>
      </c>
      <c r="Z45" t="str">
        <f t="shared" si="19"/>
        <v>2018/08/11 13:33:49</v>
      </c>
      <c r="AA45" t="str">
        <f t="shared" si="4"/>
        <v>catc</v>
      </c>
      <c r="AC45" t="str">
        <f>("S349")</f>
        <v>S349</v>
      </c>
      <c r="AE45" t="str">
        <f t="shared" si="21"/>
        <v>c.1</v>
      </c>
      <c r="AF45" t="str">
        <f t="shared" si="14"/>
        <v>1.可借圖書</v>
      </c>
      <c r="AG45" t="str">
        <f t="shared" si="15"/>
        <v>在架</v>
      </c>
      <c r="AI45" t="s">
        <v>65</v>
      </c>
      <c r="AK45" t="str">
        <f t="shared" si="8"/>
        <v>一般(Normal)</v>
      </c>
      <c r="AO45" t="s">
        <v>65</v>
      </c>
      <c r="AS45" t="str">
        <f>("c2001. ")</f>
        <v xml:space="preserve">c2001. </v>
      </c>
      <c r="AT45" t="str">
        <f t="shared" si="9"/>
        <v>catc</v>
      </c>
    </row>
    <row r="46" spans="1:46" x14ac:dyDescent="0.25">
      <c r="A46">
        <v>35</v>
      </c>
      <c r="B46" t="str">
        <f>("288975")</f>
        <v>288975</v>
      </c>
      <c r="C46" t="str">
        <f>("W00002071")</f>
        <v>W00002071</v>
      </c>
      <c r="D46" t="str">
        <f>("Dirty dealing :the untold truth about global money laundering /")</f>
        <v>Dirty dealing :the untold truth about global money laundering /</v>
      </c>
      <c r="E46" t="str">
        <f>("Lilley, Peter,1943- ")</f>
        <v xml:space="preserve">Lilley, Peter,1943- </v>
      </c>
      <c r="F46" t="str">
        <f>("Kogan Page,")</f>
        <v>Kogan Page,</v>
      </c>
      <c r="H46" t="str">
        <f t="shared" si="12"/>
        <v>圖書 book</v>
      </c>
      <c r="I46" t="str">
        <f>("HV8079.M64 L729 2000")</f>
        <v>HV8079.M64 L729 2000</v>
      </c>
      <c r="J46" t="str">
        <f>("0749431431")</f>
        <v>0749431431</v>
      </c>
      <c r="K46" t="str">
        <f>("708")</f>
        <v>708</v>
      </c>
      <c r="L46" t="str">
        <f t="shared" si="1"/>
        <v>2001/10/10 00:00:00</v>
      </c>
      <c r="M46" t="str">
        <f t="shared" si="18"/>
        <v>2018/08/11 13:33:49</v>
      </c>
      <c r="N46" t="str">
        <f>("2000")</f>
        <v>2000</v>
      </c>
      <c r="O46" t="str">
        <f t="shared" si="13"/>
        <v>4F西文書庫 4F Western Language Books</v>
      </c>
      <c r="P46" t="s">
        <v>64</v>
      </c>
      <c r="W46" t="str">
        <f t="shared" si="20"/>
        <v>美國國會圖書分類法</v>
      </c>
      <c r="Y46" t="str">
        <f>("HV8079.M64")</f>
        <v>HV8079.M64</v>
      </c>
      <c r="Z46" t="str">
        <f t="shared" si="19"/>
        <v>2018/08/11 13:33:49</v>
      </c>
      <c r="AA46" t="str">
        <f t="shared" si="4"/>
        <v>catc</v>
      </c>
      <c r="AC46" t="str">
        <f>("L729")</f>
        <v>L729</v>
      </c>
      <c r="AE46" t="str">
        <f t="shared" si="21"/>
        <v>c.1</v>
      </c>
      <c r="AF46" t="str">
        <f t="shared" si="14"/>
        <v>1.可借圖書</v>
      </c>
      <c r="AG46" t="str">
        <f t="shared" si="15"/>
        <v>在架</v>
      </c>
      <c r="AI46" t="s">
        <v>65</v>
      </c>
      <c r="AK46" t="str">
        <f t="shared" si="8"/>
        <v>一般(Normal)</v>
      </c>
      <c r="AO46" t="s">
        <v>65</v>
      </c>
      <c r="AS46" t="str">
        <f>("2000 ")</f>
        <v xml:space="preserve">2000 </v>
      </c>
      <c r="AT46" t="str">
        <f t="shared" si="9"/>
        <v>catc</v>
      </c>
    </row>
    <row r="47" spans="1:46" x14ac:dyDescent="0.25">
      <c r="A47">
        <v>36</v>
      </c>
      <c r="B47" t="str">
        <f>("288976")</f>
        <v>288976</v>
      </c>
      <c r="C47" t="str">
        <f>("W00002072")</f>
        <v>W00002072</v>
      </c>
      <c r="D47" t="str">
        <f>("Managing activism :a guide to dealing with activists and pressure groups /")</f>
        <v>Managing activism :a guide to dealing with activists and pressure groups /</v>
      </c>
      <c r="E47" t="str">
        <f>("Deegan, Denise,1966- ")</f>
        <v xml:space="preserve">Deegan, Denise,1966- </v>
      </c>
      <c r="F47" t="str">
        <f>("Kogan Page,")</f>
        <v>Kogan Page,</v>
      </c>
      <c r="H47" t="str">
        <f t="shared" si="12"/>
        <v>圖書 book</v>
      </c>
      <c r="I47" t="str">
        <f>("GV160 D311 2001")</f>
        <v>GV160 D311 2001</v>
      </c>
      <c r="J47" t="str">
        <f>("074943435X")</f>
        <v>074943435X</v>
      </c>
      <c r="K47" t="str">
        <f>("624")</f>
        <v>624</v>
      </c>
      <c r="L47" t="str">
        <f t="shared" si="1"/>
        <v>2001/10/10 00:00:00</v>
      </c>
      <c r="M47" t="str">
        <f t="shared" si="18"/>
        <v>2018/08/11 13:33:49</v>
      </c>
      <c r="N47" t="str">
        <f>("2001")</f>
        <v>2001</v>
      </c>
      <c r="O47" t="str">
        <f t="shared" si="13"/>
        <v>4F西文書庫 4F Western Language Books</v>
      </c>
      <c r="P47" t="s">
        <v>64</v>
      </c>
      <c r="W47" t="str">
        <f t="shared" si="20"/>
        <v>美國國會圖書分類法</v>
      </c>
      <c r="Y47" t="str">
        <f>("GV160")</f>
        <v>GV160</v>
      </c>
      <c r="Z47" t="str">
        <f t="shared" si="19"/>
        <v>2018/08/11 13:33:49</v>
      </c>
      <c r="AA47" t="str">
        <f t="shared" si="4"/>
        <v>catc</v>
      </c>
      <c r="AC47" t="str">
        <f>("D311")</f>
        <v>D311</v>
      </c>
      <c r="AE47" t="str">
        <f t="shared" si="21"/>
        <v>c.1</v>
      </c>
      <c r="AF47" t="str">
        <f t="shared" si="14"/>
        <v>1.可借圖書</v>
      </c>
      <c r="AG47" t="str">
        <f t="shared" si="15"/>
        <v>在架</v>
      </c>
      <c r="AI47" t="s">
        <v>65</v>
      </c>
      <c r="AK47" t="str">
        <f t="shared" si="8"/>
        <v>一般(Normal)</v>
      </c>
      <c r="AO47" t="s">
        <v>65</v>
      </c>
      <c r="AS47" t="str">
        <f>("2001 ")</f>
        <v xml:space="preserve">2001 </v>
      </c>
      <c r="AT47" t="str">
        <f t="shared" si="9"/>
        <v>catc</v>
      </c>
    </row>
    <row r="48" spans="1:46" x14ac:dyDescent="0.25">
      <c r="A48">
        <v>37</v>
      </c>
      <c r="B48" t="str">
        <f>("288977")</f>
        <v>288977</v>
      </c>
      <c r="C48" t="str">
        <f>("W00002073")</f>
        <v>W00002073</v>
      </c>
      <c r="D48" t="str">
        <f>("Comparative statics analysis in economics /")</f>
        <v>Comparative statics analysis in economics /</v>
      </c>
      <c r="E48" t="str">
        <f>("Currier, Kevin M. ")</f>
        <v xml:space="preserve">Currier, Kevin M. </v>
      </c>
      <c r="F48" t="str">
        <f>("World Scientific,")</f>
        <v>World Scientific,</v>
      </c>
      <c r="H48" t="str">
        <f t="shared" si="12"/>
        <v>圖書 book</v>
      </c>
      <c r="I48" t="str">
        <f>("HB145 C976 2000")</f>
        <v>HB145 C976 2000</v>
      </c>
      <c r="J48" t="str">
        <f>("9810243669")</f>
        <v>9810243669</v>
      </c>
      <c r="K48" t="str">
        <f>("852")</f>
        <v>852</v>
      </c>
      <c r="L48" t="str">
        <f t="shared" si="1"/>
        <v>2001/10/10 00:00:00</v>
      </c>
      <c r="M48" t="str">
        <f t="shared" si="18"/>
        <v>2018/08/11 13:33:49</v>
      </c>
      <c r="N48" t="str">
        <f>("2000")</f>
        <v>2000</v>
      </c>
      <c r="O48" t="str">
        <f t="shared" si="13"/>
        <v>4F西文書庫 4F Western Language Books</v>
      </c>
      <c r="P48" t="s">
        <v>64</v>
      </c>
      <c r="W48" t="str">
        <f t="shared" si="20"/>
        <v>美國國會圖書分類法</v>
      </c>
      <c r="Y48" t="str">
        <f>("HB145")</f>
        <v>HB145</v>
      </c>
      <c r="Z48" t="str">
        <f t="shared" si="19"/>
        <v>2018/08/11 13:33:49</v>
      </c>
      <c r="AA48" t="str">
        <f t="shared" si="4"/>
        <v>catc</v>
      </c>
      <c r="AC48" t="str">
        <f>("C976")</f>
        <v>C976</v>
      </c>
      <c r="AE48" t="str">
        <f t="shared" si="21"/>
        <v>c.1</v>
      </c>
      <c r="AF48" t="str">
        <f t="shared" si="14"/>
        <v>1.可借圖書</v>
      </c>
      <c r="AG48" t="str">
        <f t="shared" si="15"/>
        <v>在架</v>
      </c>
      <c r="AI48" t="s">
        <v>65</v>
      </c>
      <c r="AK48" t="str">
        <f t="shared" si="8"/>
        <v>一般(Normal)</v>
      </c>
      <c r="AO48" t="s">
        <v>65</v>
      </c>
      <c r="AS48" t="str">
        <f>("c2000. ")</f>
        <v xml:space="preserve">c2000. </v>
      </c>
      <c r="AT48" t="str">
        <f t="shared" si="9"/>
        <v>catc</v>
      </c>
    </row>
    <row r="49" spans="1:46" x14ac:dyDescent="0.25">
      <c r="A49">
        <v>38</v>
      </c>
      <c r="B49" t="str">
        <f>("288950")</f>
        <v>288950</v>
      </c>
      <c r="C49" t="str">
        <f>("W00002074")</f>
        <v>W00002074</v>
      </c>
      <c r="D49" t="str">
        <f>("Unchained value :the new logic of digital business /")</f>
        <v>Unchained value :the new logic of digital business /</v>
      </c>
      <c r="E49" t="str">
        <f>("Cronin, Mary J. ")</f>
        <v xml:space="preserve">Cronin, Mary J. </v>
      </c>
      <c r="F49" t="str">
        <f>("Harvard Business School Press,")</f>
        <v>Harvard Business School Press,</v>
      </c>
      <c r="H49" t="str">
        <f t="shared" si="12"/>
        <v>圖書 book</v>
      </c>
      <c r="I49" t="str">
        <f>("HF5548.32 C947 2000")</f>
        <v>HF5548.32 C947 2000</v>
      </c>
      <c r="J49" t="str">
        <f>("0875849377")</f>
        <v>0875849377</v>
      </c>
      <c r="K49" t="str">
        <f>("888")</f>
        <v>888</v>
      </c>
      <c r="L49" t="str">
        <f t="shared" si="1"/>
        <v>2001/10/10 00:00:00</v>
      </c>
      <c r="M49" t="str">
        <f t="shared" si="18"/>
        <v>2018/08/11 13:33:49</v>
      </c>
      <c r="N49" t="str">
        <f>("2000")</f>
        <v>2000</v>
      </c>
      <c r="O49" t="str">
        <f t="shared" si="13"/>
        <v>4F西文書庫 4F Western Language Books</v>
      </c>
      <c r="P49" t="s">
        <v>64</v>
      </c>
      <c r="W49" t="str">
        <f t="shared" si="20"/>
        <v>美國國會圖書分類法</v>
      </c>
      <c r="Y49" t="str">
        <f>("HF5548.32")</f>
        <v>HF5548.32</v>
      </c>
      <c r="Z49" t="str">
        <f t="shared" si="19"/>
        <v>2018/08/11 13:33:49</v>
      </c>
      <c r="AA49" t="str">
        <f t="shared" si="4"/>
        <v>catc</v>
      </c>
      <c r="AC49" t="str">
        <f>("C947")</f>
        <v>C947</v>
      </c>
      <c r="AE49" t="str">
        <f t="shared" si="21"/>
        <v>c.1</v>
      </c>
      <c r="AF49" t="str">
        <f t="shared" si="14"/>
        <v>1.可借圖書</v>
      </c>
      <c r="AG49" t="str">
        <f t="shared" si="15"/>
        <v>在架</v>
      </c>
      <c r="AI49" t="s">
        <v>65</v>
      </c>
      <c r="AK49" t="str">
        <f t="shared" si="8"/>
        <v>一般(Normal)</v>
      </c>
      <c r="AO49" t="s">
        <v>65</v>
      </c>
      <c r="AS49" t="str">
        <f>("c2000. ")</f>
        <v xml:space="preserve">c2000. </v>
      </c>
      <c r="AT49" t="str">
        <f t="shared" si="9"/>
        <v>catc</v>
      </c>
    </row>
    <row r="50" spans="1:46" x14ac:dyDescent="0.25">
      <c r="A50">
        <v>39</v>
      </c>
      <c r="B50" t="str">
        <f>("288978")</f>
        <v>288978</v>
      </c>
      <c r="C50" t="str">
        <f>("W00002075")</f>
        <v>W00002075</v>
      </c>
      <c r="D50" t="str">
        <f>("Information, corporate governance, and institutional diversity :competitiveness in Japan, the USA, and the transitional economies /")</f>
        <v>Information, corporate governance, and institutional diversity :competitiveness in Japan, the USA, and the transitional economies /</v>
      </c>
      <c r="E50" t="str">
        <f>("Aoki, Masahiko,1938- ")</f>
        <v xml:space="preserve">Aoki, Masahiko,1938- </v>
      </c>
      <c r="F50" t="str">
        <f>("Oxford University Press,")</f>
        <v>Oxford University Press,</v>
      </c>
      <c r="H50" t="str">
        <f t="shared" si="12"/>
        <v>圖書 book</v>
      </c>
      <c r="I50" t="str">
        <f>("HB99.5 A638 2000")</f>
        <v>HB99.5 A638 2000</v>
      </c>
      <c r="J50" t="str">
        <f>("0198297033")</f>
        <v>0198297033</v>
      </c>
      <c r="K50" t="str">
        <f>("880")</f>
        <v>880</v>
      </c>
      <c r="L50" t="str">
        <f t="shared" si="1"/>
        <v>2001/10/10 00:00:00</v>
      </c>
      <c r="M50" t="str">
        <f t="shared" si="18"/>
        <v>2018/08/11 13:33:49</v>
      </c>
      <c r="N50" t="str">
        <f>("2000")</f>
        <v>2000</v>
      </c>
      <c r="O50" t="str">
        <f t="shared" si="13"/>
        <v>4F西文書庫 4F Western Language Books</v>
      </c>
      <c r="P50" t="s">
        <v>64</v>
      </c>
      <c r="W50" t="str">
        <f t="shared" si="20"/>
        <v>美國國會圖書分類法</v>
      </c>
      <c r="Y50" t="str">
        <f>("HB99.5")</f>
        <v>HB99.5</v>
      </c>
      <c r="Z50" t="str">
        <f t="shared" si="19"/>
        <v>2018/08/11 13:33:49</v>
      </c>
      <c r="AA50" t="str">
        <f t="shared" si="4"/>
        <v>catc</v>
      </c>
      <c r="AC50" t="str">
        <f>("A638")</f>
        <v>A638</v>
      </c>
      <c r="AE50" t="str">
        <f t="shared" si="21"/>
        <v>c.1</v>
      </c>
      <c r="AF50" t="str">
        <f t="shared" si="14"/>
        <v>1.可借圖書</v>
      </c>
      <c r="AG50" t="str">
        <f t="shared" si="15"/>
        <v>在架</v>
      </c>
      <c r="AI50" t="s">
        <v>65</v>
      </c>
      <c r="AK50" t="str">
        <f t="shared" si="8"/>
        <v>一般(Normal)</v>
      </c>
      <c r="AO50" t="s">
        <v>65</v>
      </c>
      <c r="AS50" t="str">
        <f>("2000. ")</f>
        <v xml:space="preserve">2000. </v>
      </c>
      <c r="AT50" t="str">
        <f t="shared" si="9"/>
        <v>catc</v>
      </c>
    </row>
    <row r="51" spans="1:46" x14ac:dyDescent="0.25">
      <c r="A51">
        <v>40</v>
      </c>
      <c r="B51" t="str">
        <f>("288979")</f>
        <v>288979</v>
      </c>
      <c r="C51" t="str">
        <f>("W00002076")</f>
        <v>W00002076</v>
      </c>
      <c r="D51" t="str">
        <f>("Technical analysis from A to Z /")</f>
        <v>Technical analysis from A to Z /</v>
      </c>
      <c r="E51" t="str">
        <f>("Achelis, Steven B. ")</f>
        <v xml:space="preserve">Achelis, Steven B. </v>
      </c>
      <c r="F51" t="str">
        <f>("McGraw Hill,")</f>
        <v>McGraw Hill,</v>
      </c>
      <c r="G51" t="str">
        <f>("2nd ed. ")</f>
        <v xml:space="preserve">2nd ed. </v>
      </c>
      <c r="H51" t="str">
        <f t="shared" si="12"/>
        <v>圖書 book</v>
      </c>
      <c r="I51" t="str">
        <f>("HG4529 A177 2001")</f>
        <v>HG4529 A177 2001</v>
      </c>
      <c r="J51" t="str">
        <f>("0071363483")</f>
        <v>0071363483</v>
      </c>
      <c r="K51" t="str">
        <f>("1120")</f>
        <v>1120</v>
      </c>
      <c r="L51" t="str">
        <f t="shared" si="1"/>
        <v>2001/10/10 00:00:00</v>
      </c>
      <c r="M51" t="str">
        <f t="shared" si="18"/>
        <v>2018/08/11 13:33:49</v>
      </c>
      <c r="N51" t="str">
        <f>("2001")</f>
        <v>2001</v>
      </c>
      <c r="O51" t="str">
        <f t="shared" si="13"/>
        <v>4F西文書庫 4F Western Language Books</v>
      </c>
      <c r="P51" t="s">
        <v>64</v>
      </c>
      <c r="W51" t="str">
        <f t="shared" si="20"/>
        <v>美國國會圖書分類法</v>
      </c>
      <c r="Y51" t="str">
        <f>("HG4529")</f>
        <v>HG4529</v>
      </c>
      <c r="Z51" t="str">
        <f t="shared" si="19"/>
        <v>2018/08/11 13:33:49</v>
      </c>
      <c r="AA51" t="str">
        <f t="shared" si="4"/>
        <v>catc</v>
      </c>
      <c r="AC51" t="str">
        <f>("A177")</f>
        <v>A177</v>
      </c>
      <c r="AE51" t="str">
        <f t="shared" si="21"/>
        <v>c.1</v>
      </c>
      <c r="AF51" t="str">
        <f t="shared" si="14"/>
        <v>1.可借圖書</v>
      </c>
      <c r="AG51" t="str">
        <f t="shared" si="15"/>
        <v>在架</v>
      </c>
      <c r="AI51" t="s">
        <v>65</v>
      </c>
      <c r="AK51" t="str">
        <f t="shared" si="8"/>
        <v>一般(Normal)</v>
      </c>
      <c r="AO51" t="s">
        <v>65</v>
      </c>
      <c r="AS51" t="str">
        <f>("c2001. ")</f>
        <v xml:space="preserve">c2001. </v>
      </c>
      <c r="AT51" t="str">
        <f t="shared" si="9"/>
        <v>catc</v>
      </c>
    </row>
    <row r="52" spans="1:46" x14ac:dyDescent="0.25">
      <c r="A52">
        <v>41</v>
      </c>
      <c r="B52" t="str">
        <f>("287925")</f>
        <v>287925</v>
      </c>
      <c r="C52" t="str">
        <f>("W00002077")</f>
        <v>W00002077</v>
      </c>
      <c r="D52" t="str">
        <f>("What is an exchange? :the automation, management, and regulation of financial markets /")</f>
        <v>What is an exchange? :the automation, management, and regulation of financial markets /</v>
      </c>
      <c r="E52" t="str">
        <f>("Lee, Ruben ")</f>
        <v xml:space="preserve">Lee, Ruben </v>
      </c>
      <c r="F52" t="str">
        <f>("Oxford University Press,")</f>
        <v>Oxford University Press,</v>
      </c>
      <c r="H52" t="str">
        <f t="shared" si="12"/>
        <v>圖書 book</v>
      </c>
      <c r="I52" t="str">
        <f>("HG4551 L477 1998")</f>
        <v>HG4551 L477 1998</v>
      </c>
      <c r="J52" t="str">
        <f>("0198297041")</f>
        <v>0198297041</v>
      </c>
      <c r="K52" t="str">
        <f>("708")</f>
        <v>708</v>
      </c>
      <c r="L52" t="str">
        <f t="shared" si="1"/>
        <v>2001/10/10 00:00:00</v>
      </c>
      <c r="M52" t="str">
        <f>("2018/08/11 13:32:06")</f>
        <v>2018/08/11 13:32:06</v>
      </c>
      <c r="N52" t="str">
        <f>("1998")</f>
        <v>1998</v>
      </c>
      <c r="O52" t="str">
        <f t="shared" si="13"/>
        <v>4F西文書庫 4F Western Language Books</v>
      </c>
      <c r="P52" t="s">
        <v>64</v>
      </c>
      <c r="S52" t="str">
        <f>("xvii, 405 p. ;")</f>
        <v>xvii, 405 p. ;</v>
      </c>
      <c r="U52" t="str">
        <f>("24 cm ")</f>
        <v xml:space="preserve">24 cm </v>
      </c>
      <c r="W52" t="str">
        <f t="shared" si="20"/>
        <v>美國國會圖書分類法</v>
      </c>
      <c r="Y52" t="str">
        <f>("HG4551")</f>
        <v>HG4551</v>
      </c>
      <c r="Z52" t="str">
        <f>("2018/08/11 13:32:06")</f>
        <v>2018/08/11 13:32:06</v>
      </c>
      <c r="AA52" t="str">
        <f t="shared" si="4"/>
        <v>catc</v>
      </c>
      <c r="AC52" t="str">
        <f>("L477")</f>
        <v>L477</v>
      </c>
      <c r="AE52" t="str">
        <f t="shared" si="21"/>
        <v>c.1</v>
      </c>
      <c r="AF52" t="str">
        <f t="shared" si="14"/>
        <v>1.可借圖書</v>
      </c>
      <c r="AG52" t="str">
        <f t="shared" si="15"/>
        <v>在架</v>
      </c>
      <c r="AI52" t="s">
        <v>65</v>
      </c>
      <c r="AK52" t="str">
        <f t="shared" si="8"/>
        <v>一般(Normal)</v>
      </c>
      <c r="AO52" t="s">
        <v>65</v>
      </c>
      <c r="AS52" t="str">
        <f>("1998 ")</f>
        <v xml:space="preserve">1998 </v>
      </c>
      <c r="AT52" t="str">
        <f t="shared" si="9"/>
        <v>catc</v>
      </c>
    </row>
    <row r="53" spans="1:46" x14ac:dyDescent="0.25">
      <c r="A53">
        <v>42</v>
      </c>
      <c r="B53" t="str">
        <f>("288980")</f>
        <v>288980</v>
      </c>
      <c r="C53" t="str">
        <f>("W00002078")</f>
        <v>W00002078</v>
      </c>
      <c r="D53" t="str">
        <f>("The aesthetics of organization /")</f>
        <v>The aesthetics of organization /</v>
      </c>
      <c r="E53" t="str">
        <f>("Linstead, Stephen,1952-")</f>
        <v>Linstead, Stephen,1952-</v>
      </c>
      <c r="F53" t="str">
        <f>("SAGE Publications,")</f>
        <v>SAGE Publications,</v>
      </c>
      <c r="H53" t="str">
        <f t="shared" si="12"/>
        <v>圖書 book</v>
      </c>
      <c r="I53" t="str">
        <f>("HD58.7 L759 2000")</f>
        <v>HD58.7 L759 2000</v>
      </c>
      <c r="J53" t="str">
        <f>("076195323X")</f>
        <v>076195323X</v>
      </c>
      <c r="K53" t="str">
        <f>("880")</f>
        <v>880</v>
      </c>
      <c r="L53" t="str">
        <f t="shared" si="1"/>
        <v>2001/10/10 00:00:00</v>
      </c>
      <c r="M53" t="str">
        <f t="shared" ref="M53:M60" si="22">("2018/08/11 13:33:50")</f>
        <v>2018/08/11 13:33:50</v>
      </c>
      <c r="N53" t="str">
        <f>("2000")</f>
        <v>2000</v>
      </c>
      <c r="O53" t="str">
        <f t="shared" ref="O53:O84" si="23">("4F西文書庫 4F Western Language Books")</f>
        <v>4F西文書庫 4F Western Language Books</v>
      </c>
      <c r="P53" t="s">
        <v>64</v>
      </c>
      <c r="W53" t="str">
        <f t="shared" si="20"/>
        <v>美國國會圖書分類法</v>
      </c>
      <c r="Y53" t="str">
        <f>("HD58.7")</f>
        <v>HD58.7</v>
      </c>
      <c r="Z53" t="str">
        <f t="shared" ref="Z53:Z60" si="24">("2018/08/11 13:33:50")</f>
        <v>2018/08/11 13:33:50</v>
      </c>
      <c r="AA53" t="str">
        <f t="shared" si="4"/>
        <v>catc</v>
      </c>
      <c r="AC53" t="str">
        <f>("L759")</f>
        <v>L759</v>
      </c>
      <c r="AE53" t="str">
        <f t="shared" si="21"/>
        <v>c.1</v>
      </c>
      <c r="AF53" t="str">
        <f t="shared" ref="AF53:AF84" si="25">("1.可借圖書")</f>
        <v>1.可借圖書</v>
      </c>
      <c r="AG53" t="str">
        <f t="shared" ref="AG53:AG84" si="26">("在架")</f>
        <v>在架</v>
      </c>
      <c r="AI53" t="s">
        <v>65</v>
      </c>
      <c r="AK53" t="str">
        <f t="shared" si="8"/>
        <v>一般(Normal)</v>
      </c>
      <c r="AO53" t="s">
        <v>65</v>
      </c>
      <c r="AS53" t="str">
        <f>("2000. ")</f>
        <v xml:space="preserve">2000. </v>
      </c>
      <c r="AT53" t="str">
        <f t="shared" si="9"/>
        <v>catc</v>
      </c>
    </row>
    <row r="54" spans="1:46" x14ac:dyDescent="0.25">
      <c r="A54">
        <v>43</v>
      </c>
      <c r="B54" t="str">
        <f>("288981")</f>
        <v>288981</v>
      </c>
      <c r="C54" t="str">
        <f>("W00002079")</f>
        <v>W00002079</v>
      </c>
      <c r="D54" t="str">
        <f>("Qualitative methods for marketplace research /")</f>
        <v>Qualitative methods for marketplace research /</v>
      </c>
      <c r="E54" t="str">
        <f>("Sayre, Shay. ")</f>
        <v xml:space="preserve">Sayre, Shay. </v>
      </c>
      <c r="F54" t="str">
        <f>("Sage,")</f>
        <v>Sage,</v>
      </c>
      <c r="H54" t="str">
        <f t="shared" si="12"/>
        <v>圖書 book</v>
      </c>
      <c r="I54" t="str">
        <f>("HF5415.2 S274 2001")</f>
        <v>HF5415.2 S274 2001</v>
      </c>
      <c r="J54" t="str">
        <f>("0761922709")</f>
        <v>0761922709</v>
      </c>
      <c r="K54" t="str">
        <f>("968")</f>
        <v>968</v>
      </c>
      <c r="L54" t="str">
        <f t="shared" si="1"/>
        <v>2001/10/10 00:00:00</v>
      </c>
      <c r="M54" t="str">
        <f t="shared" si="22"/>
        <v>2018/08/11 13:33:50</v>
      </c>
      <c r="N54" t="str">
        <f>("2001")</f>
        <v>2001</v>
      </c>
      <c r="O54" t="str">
        <f t="shared" si="23"/>
        <v>4F西文書庫 4F Western Language Books</v>
      </c>
      <c r="P54" t="s">
        <v>64</v>
      </c>
      <c r="W54" t="str">
        <f t="shared" si="20"/>
        <v>美國國會圖書分類法</v>
      </c>
      <c r="Y54" t="str">
        <f>("HF5415.2")</f>
        <v>HF5415.2</v>
      </c>
      <c r="Z54" t="str">
        <f t="shared" si="24"/>
        <v>2018/08/11 13:33:50</v>
      </c>
      <c r="AA54" t="str">
        <f t="shared" si="4"/>
        <v>catc</v>
      </c>
      <c r="AC54" t="str">
        <f>("S274")</f>
        <v>S274</v>
      </c>
      <c r="AE54" t="str">
        <f t="shared" si="21"/>
        <v>c.1</v>
      </c>
      <c r="AF54" t="str">
        <f t="shared" si="25"/>
        <v>1.可借圖書</v>
      </c>
      <c r="AG54" t="str">
        <f t="shared" si="26"/>
        <v>在架</v>
      </c>
      <c r="AI54" t="s">
        <v>65</v>
      </c>
      <c r="AK54" t="str">
        <f t="shared" si="8"/>
        <v>一般(Normal)</v>
      </c>
      <c r="AO54" t="s">
        <v>65</v>
      </c>
      <c r="AS54" t="str">
        <f>("c2001. ")</f>
        <v xml:space="preserve">c2001. </v>
      </c>
      <c r="AT54" t="str">
        <f t="shared" si="9"/>
        <v>catc</v>
      </c>
    </row>
    <row r="55" spans="1:46" x14ac:dyDescent="0.25">
      <c r="A55">
        <v>44</v>
      </c>
      <c r="B55" t="str">
        <f>("288951")</f>
        <v>288951</v>
      </c>
      <c r="C55" t="str">
        <f>("W00002080")</f>
        <v>W00002080</v>
      </c>
      <c r="D55" t="str">
        <f>("The management of international acquisitions /")</f>
        <v>The management of international acquisitions /</v>
      </c>
      <c r="E55" t="str">
        <f>("Child, John,1940- ")</f>
        <v xml:space="preserve">Child, John,1940- </v>
      </c>
      <c r="F55" t="str">
        <f>("Oxford University Press,")</f>
        <v>Oxford University Press,</v>
      </c>
      <c r="H55" t="str">
        <f t="shared" si="12"/>
        <v>圖書 book</v>
      </c>
      <c r="I55" t="str">
        <f>("HD2746.5 C536 2001")</f>
        <v>HD2746.5 C536 2001</v>
      </c>
      <c r="J55" t="str">
        <f>("0198296320")</f>
        <v>0198296320</v>
      </c>
      <c r="K55" t="str">
        <f>("1498")</f>
        <v>1498</v>
      </c>
      <c r="L55" t="str">
        <f t="shared" si="1"/>
        <v>2001/10/10 00:00:00</v>
      </c>
      <c r="M55" t="str">
        <f t="shared" si="22"/>
        <v>2018/08/11 13:33:50</v>
      </c>
      <c r="N55" t="str">
        <f>("2001")</f>
        <v>2001</v>
      </c>
      <c r="O55" t="str">
        <f t="shared" si="23"/>
        <v>4F西文書庫 4F Western Language Books</v>
      </c>
      <c r="P55" t="s">
        <v>64</v>
      </c>
      <c r="W55" t="str">
        <f t="shared" si="20"/>
        <v>美國國會圖書分類法</v>
      </c>
      <c r="Y55" t="str">
        <f>("HD2746.5")</f>
        <v>HD2746.5</v>
      </c>
      <c r="Z55" t="str">
        <f t="shared" si="24"/>
        <v>2018/08/11 13:33:50</v>
      </c>
      <c r="AA55" t="str">
        <f t="shared" si="4"/>
        <v>catc</v>
      </c>
      <c r="AC55" t="str">
        <f>("C536")</f>
        <v>C536</v>
      </c>
      <c r="AE55" t="str">
        <f t="shared" si="21"/>
        <v>c.1</v>
      </c>
      <c r="AF55" t="str">
        <f t="shared" si="25"/>
        <v>1.可借圖書</v>
      </c>
      <c r="AG55" t="str">
        <f t="shared" si="26"/>
        <v>在架</v>
      </c>
      <c r="AI55" t="s">
        <v>65</v>
      </c>
      <c r="AK55" t="str">
        <f t="shared" si="8"/>
        <v>一般(Normal)</v>
      </c>
      <c r="AO55" t="s">
        <v>65</v>
      </c>
      <c r="AS55" t="str">
        <f>("2001. ")</f>
        <v xml:space="preserve">2001. </v>
      </c>
      <c r="AT55" t="str">
        <f t="shared" si="9"/>
        <v>catc</v>
      </c>
    </row>
    <row r="56" spans="1:46" x14ac:dyDescent="0.25">
      <c r="A56">
        <v>45</v>
      </c>
      <c r="B56" t="str">
        <f>("288952")</f>
        <v>288952</v>
      </c>
      <c r="C56" t="str">
        <f>("W00002081")</f>
        <v>W00002081</v>
      </c>
      <c r="D56" t="str">
        <f>("What works on Wall Street :a guide to the best-performing investment strategies of all time /")</f>
        <v>What works on Wall Street :a guide to the best-performing investment strategies of all time /</v>
      </c>
      <c r="E56" t="str">
        <f>("O'Shaughnessy, James P. ")</f>
        <v xml:space="preserve">O'Shaughnessy, James P. </v>
      </c>
      <c r="F56" t="str">
        <f>("McGraw-Hill,")</f>
        <v>McGraw-Hill,</v>
      </c>
      <c r="G56" t="str">
        <f>("Rev. ed. ")</f>
        <v xml:space="preserve">Rev. ed. </v>
      </c>
      <c r="H56" t="str">
        <f t="shared" si="12"/>
        <v>圖書 book</v>
      </c>
      <c r="I56" t="str">
        <f>("HG4910 O82 1998")</f>
        <v>HG4910 O82 1998</v>
      </c>
      <c r="J56" t="str">
        <f>("0070482462")</f>
        <v>0070482462</v>
      </c>
      <c r="K56" t="str">
        <f>("816")</f>
        <v>816</v>
      </c>
      <c r="L56" t="str">
        <f t="shared" si="1"/>
        <v>2001/10/10 00:00:00</v>
      </c>
      <c r="M56" t="str">
        <f t="shared" si="22"/>
        <v>2018/08/11 13:33:50</v>
      </c>
      <c r="N56" t="str">
        <f>("1998")</f>
        <v>1998</v>
      </c>
      <c r="O56" t="str">
        <f t="shared" si="23"/>
        <v>4F西文書庫 4F Western Language Books</v>
      </c>
      <c r="P56" t="s">
        <v>64</v>
      </c>
      <c r="W56" t="str">
        <f t="shared" si="20"/>
        <v>美國國會圖書分類法</v>
      </c>
      <c r="Y56" t="str">
        <f>("HG4910")</f>
        <v>HG4910</v>
      </c>
      <c r="Z56" t="str">
        <f t="shared" si="24"/>
        <v>2018/08/11 13:33:50</v>
      </c>
      <c r="AA56" t="str">
        <f t="shared" si="4"/>
        <v>catc</v>
      </c>
      <c r="AC56" t="str">
        <f>("O82")</f>
        <v>O82</v>
      </c>
      <c r="AE56" t="str">
        <f t="shared" si="21"/>
        <v>c.1</v>
      </c>
      <c r="AF56" t="str">
        <f t="shared" si="25"/>
        <v>1.可借圖書</v>
      </c>
      <c r="AG56" t="str">
        <f t="shared" si="26"/>
        <v>在架</v>
      </c>
      <c r="AI56" t="s">
        <v>65</v>
      </c>
      <c r="AK56" t="str">
        <f t="shared" si="8"/>
        <v>一般(Normal)</v>
      </c>
      <c r="AO56" t="s">
        <v>65</v>
      </c>
      <c r="AS56" t="str">
        <f>("c1998. ")</f>
        <v xml:space="preserve">c1998. </v>
      </c>
      <c r="AT56" t="str">
        <f t="shared" si="9"/>
        <v>catc</v>
      </c>
    </row>
    <row r="57" spans="1:46" x14ac:dyDescent="0.25">
      <c r="A57">
        <v>46</v>
      </c>
      <c r="B57" t="str">
        <f>("288953")</f>
        <v>288953</v>
      </c>
      <c r="C57" t="str">
        <f>("W00002082")</f>
        <v>W00002082</v>
      </c>
      <c r="D57" t="str">
        <f>("Principles of public speaking /")</f>
        <v>Principles of public speaking /</v>
      </c>
      <c r="E57" t="str">
        <f>("German, Kathleen M. ;Gronbeck, Bruce E. ;Ehninger, Douglas.;Monroe, Alan H. ")</f>
        <v xml:space="preserve">German, Kathleen M. ;Gronbeck, Bruce E. ;Ehninger, Douglas.;Monroe, Alan H. </v>
      </c>
      <c r="F57" t="str">
        <f>("Addison Wesley Longman,")</f>
        <v>Addison Wesley Longman,</v>
      </c>
      <c r="G57" t="str">
        <f>("14th ed. ")</f>
        <v xml:space="preserve">14th ed. </v>
      </c>
      <c r="H57" t="str">
        <f t="shared" si="12"/>
        <v>圖書 book</v>
      </c>
      <c r="I57" t="str">
        <f>("PN4121 P955 2000")</f>
        <v>PN4121 P955 2000</v>
      </c>
      <c r="J57" t="str">
        <f>("0321070151")</f>
        <v>0321070151</v>
      </c>
      <c r="K57" t="str">
        <f>("1308")</f>
        <v>1308</v>
      </c>
      <c r="L57" t="str">
        <f t="shared" si="1"/>
        <v>2001/10/10 00:00:00</v>
      </c>
      <c r="M57" t="str">
        <f t="shared" si="22"/>
        <v>2018/08/11 13:33:50</v>
      </c>
      <c r="N57" t="str">
        <f>("2000")</f>
        <v>2000</v>
      </c>
      <c r="O57" t="str">
        <f t="shared" si="23"/>
        <v>4F西文書庫 4F Western Language Books</v>
      </c>
      <c r="P57" t="s">
        <v>64</v>
      </c>
      <c r="Q57" t="str">
        <f>("光碟片1片")</f>
        <v>光碟片1片</v>
      </c>
      <c r="W57" t="str">
        <f t="shared" si="20"/>
        <v>美國國會圖書分類法</v>
      </c>
      <c r="Y57" t="str">
        <f>("PN4121")</f>
        <v>PN4121</v>
      </c>
      <c r="Z57" t="str">
        <f t="shared" si="24"/>
        <v>2018/08/11 13:33:50</v>
      </c>
      <c r="AA57" t="str">
        <f t="shared" si="4"/>
        <v>catc</v>
      </c>
      <c r="AC57" t="str">
        <f>("P955")</f>
        <v>P955</v>
      </c>
      <c r="AE57" t="str">
        <f t="shared" si="21"/>
        <v>c.1</v>
      </c>
      <c r="AF57" t="str">
        <f t="shared" si="25"/>
        <v>1.可借圖書</v>
      </c>
      <c r="AG57" t="str">
        <f t="shared" si="26"/>
        <v>在架</v>
      </c>
      <c r="AI57" t="s">
        <v>65</v>
      </c>
      <c r="AK57" t="str">
        <f t="shared" si="8"/>
        <v>一般(Normal)</v>
      </c>
      <c r="AO57" t="s">
        <v>65</v>
      </c>
      <c r="AS57" t="str">
        <f>("2000. ")</f>
        <v xml:space="preserve">2000. </v>
      </c>
      <c r="AT57" t="str">
        <f t="shared" si="9"/>
        <v>catc</v>
      </c>
    </row>
    <row r="58" spans="1:46" x14ac:dyDescent="0.25">
      <c r="A58">
        <v>47</v>
      </c>
      <c r="B58" t="str">
        <f>("288954")</f>
        <v>288954</v>
      </c>
      <c r="C58" t="str">
        <f>("W00002083")</f>
        <v>W00002083</v>
      </c>
      <c r="D58" t="str">
        <f>("The big book of creativity games :quick, fun activities for jumpstarting innovation /")</f>
        <v>The big book of creativity games :quick, fun activities for jumpstarting innovation /</v>
      </c>
      <c r="E58" t="str">
        <f>("Epstein, Robert,1953- ")</f>
        <v xml:space="preserve">Epstein, Robert,1953- </v>
      </c>
      <c r="F58" t="str">
        <f>("McGraw-Hill,")</f>
        <v>McGraw-Hill,</v>
      </c>
      <c r="H58" t="str">
        <f t="shared" si="12"/>
        <v>圖書 book</v>
      </c>
      <c r="I58" t="str">
        <f>("HB144 E63 2000")</f>
        <v>HB144 E63 2000</v>
      </c>
      <c r="J58" t="str">
        <f>("0071361766;0071361766")</f>
        <v>0071361766;0071361766</v>
      </c>
      <c r="K58" t="str">
        <f>("532")</f>
        <v>532</v>
      </c>
      <c r="L58" t="str">
        <f t="shared" si="1"/>
        <v>2001/10/10 00:00:00</v>
      </c>
      <c r="M58" t="str">
        <f t="shared" si="22"/>
        <v>2018/08/11 13:33:50</v>
      </c>
      <c r="N58" t="str">
        <f>("2000")</f>
        <v>2000</v>
      </c>
      <c r="O58" t="str">
        <f t="shared" si="23"/>
        <v>4F西文書庫 4F Western Language Books</v>
      </c>
      <c r="P58" t="s">
        <v>64</v>
      </c>
      <c r="W58" t="str">
        <f t="shared" si="20"/>
        <v>美國國會圖書分類法</v>
      </c>
      <c r="Y58" t="str">
        <f>("HB144")</f>
        <v>HB144</v>
      </c>
      <c r="Z58" t="str">
        <f t="shared" si="24"/>
        <v>2018/08/11 13:33:50</v>
      </c>
      <c r="AA58" t="str">
        <f t="shared" si="4"/>
        <v>catc</v>
      </c>
      <c r="AC58" t="str">
        <f>("E63")</f>
        <v>E63</v>
      </c>
      <c r="AE58" t="str">
        <f t="shared" si="21"/>
        <v>c.1</v>
      </c>
      <c r="AF58" t="str">
        <f t="shared" si="25"/>
        <v>1.可借圖書</v>
      </c>
      <c r="AG58" t="str">
        <f t="shared" si="26"/>
        <v>在架</v>
      </c>
      <c r="AI58" t="s">
        <v>65</v>
      </c>
      <c r="AK58" t="str">
        <f t="shared" si="8"/>
        <v>一般(Normal)</v>
      </c>
      <c r="AO58" t="s">
        <v>65</v>
      </c>
      <c r="AS58" t="str">
        <f>("c2000. ")</f>
        <v xml:space="preserve">c2000. </v>
      </c>
      <c r="AT58" t="str">
        <f t="shared" si="9"/>
        <v>catc</v>
      </c>
    </row>
    <row r="59" spans="1:46" x14ac:dyDescent="0.25">
      <c r="A59">
        <v>48</v>
      </c>
      <c r="B59" t="str">
        <f>("288955")</f>
        <v>288955</v>
      </c>
      <c r="C59" t="str">
        <f>("W00002084")</f>
        <v>W00002084</v>
      </c>
      <c r="D59" t="str">
        <f>("Accounting for business /")</f>
        <v>Accounting for business /</v>
      </c>
      <c r="E59" t="str">
        <f>("Atrill, Peter. ")</f>
        <v xml:space="preserve">Atrill, Peter. </v>
      </c>
      <c r="F59" t="str">
        <f>("Butterworth Heinemann,")</f>
        <v>Butterworth Heinemann,</v>
      </c>
      <c r="G59" t="str">
        <f>("3rd ed. ")</f>
        <v xml:space="preserve">3rd ed. </v>
      </c>
      <c r="H59" t="str">
        <f t="shared" si="12"/>
        <v>圖書 book</v>
      </c>
      <c r="I59" t="str">
        <f>("HF5635 A882 2001")</f>
        <v>HF5635 A882 2001</v>
      </c>
      <c r="J59" t="str">
        <f>("0750642564")</f>
        <v>0750642564</v>
      </c>
      <c r="K59" t="str">
        <f>("968")</f>
        <v>968</v>
      </c>
      <c r="L59" t="str">
        <f t="shared" si="1"/>
        <v>2001/10/10 00:00:00</v>
      </c>
      <c r="M59" t="str">
        <f t="shared" si="22"/>
        <v>2018/08/11 13:33:50</v>
      </c>
      <c r="N59" t="str">
        <f>("2001")</f>
        <v>2001</v>
      </c>
      <c r="O59" t="str">
        <f t="shared" si="23"/>
        <v>4F西文書庫 4F Western Language Books</v>
      </c>
      <c r="P59" t="s">
        <v>64</v>
      </c>
      <c r="W59" t="str">
        <f t="shared" si="20"/>
        <v>美國國會圖書分類法</v>
      </c>
      <c r="Y59" t="str">
        <f>("HF5635")</f>
        <v>HF5635</v>
      </c>
      <c r="Z59" t="str">
        <f t="shared" si="24"/>
        <v>2018/08/11 13:33:50</v>
      </c>
      <c r="AA59" t="str">
        <f t="shared" si="4"/>
        <v>catc</v>
      </c>
      <c r="AC59" t="str">
        <f>("A882")</f>
        <v>A882</v>
      </c>
      <c r="AE59" t="str">
        <f t="shared" si="21"/>
        <v>c.1</v>
      </c>
      <c r="AF59" t="str">
        <f t="shared" si="25"/>
        <v>1.可借圖書</v>
      </c>
      <c r="AG59" t="str">
        <f t="shared" si="26"/>
        <v>在架</v>
      </c>
      <c r="AI59" t="s">
        <v>65</v>
      </c>
      <c r="AK59" t="str">
        <f t="shared" si="8"/>
        <v>一般(Normal)</v>
      </c>
      <c r="AO59" t="s">
        <v>65</v>
      </c>
      <c r="AS59" t="str">
        <f>("c2001. ")</f>
        <v xml:space="preserve">c2001. </v>
      </c>
      <c r="AT59" t="str">
        <f t="shared" si="9"/>
        <v>catc</v>
      </c>
    </row>
    <row r="60" spans="1:46" x14ac:dyDescent="0.25">
      <c r="A60">
        <v>49</v>
      </c>
      <c r="B60" t="str">
        <f>("288956")</f>
        <v>288956</v>
      </c>
      <c r="C60" t="str">
        <f>("W00002085")</f>
        <v>W00002085</v>
      </c>
      <c r="D60" t="str">
        <f>("Vocational a level business/")</f>
        <v>Vocational a level business/</v>
      </c>
      <c r="E60" t="str">
        <f>("Bywaters,R.G.")</f>
        <v>Bywaters,R.G.</v>
      </c>
      <c r="F60" t="str">
        <f>("Longman,")</f>
        <v>Longman,</v>
      </c>
      <c r="H60" t="str">
        <f t="shared" si="12"/>
        <v>圖書 book</v>
      </c>
      <c r="I60" t="str">
        <f>("G156.5 B933 2000")</f>
        <v>G156.5 B933 2000</v>
      </c>
      <c r="J60" t="str">
        <f>("0582406358")</f>
        <v>0582406358</v>
      </c>
      <c r="K60" t="str">
        <f>("976")</f>
        <v>976</v>
      </c>
      <c r="L60" t="str">
        <f t="shared" si="1"/>
        <v>2001/10/10 00:00:00</v>
      </c>
      <c r="M60" t="str">
        <f t="shared" si="22"/>
        <v>2018/08/11 13:33:50</v>
      </c>
      <c r="N60" t="str">
        <f>("2000")</f>
        <v>2000</v>
      </c>
      <c r="O60" t="str">
        <f t="shared" si="23"/>
        <v>4F西文書庫 4F Western Language Books</v>
      </c>
      <c r="P60" t="s">
        <v>64</v>
      </c>
      <c r="W60" t="str">
        <f t="shared" si="20"/>
        <v>美國國會圖書分類法</v>
      </c>
      <c r="Y60" t="str">
        <f>("G156.5")</f>
        <v>G156.5</v>
      </c>
      <c r="Z60" t="str">
        <f t="shared" si="24"/>
        <v>2018/08/11 13:33:50</v>
      </c>
      <c r="AA60" t="str">
        <f t="shared" si="4"/>
        <v>catc</v>
      </c>
      <c r="AC60" t="str">
        <f>("B933")</f>
        <v>B933</v>
      </c>
      <c r="AE60" t="str">
        <f t="shared" si="21"/>
        <v>c.1</v>
      </c>
      <c r="AF60" t="str">
        <f t="shared" si="25"/>
        <v>1.可借圖書</v>
      </c>
      <c r="AG60" t="str">
        <f t="shared" si="26"/>
        <v>在架</v>
      </c>
      <c r="AI60" t="s">
        <v>65</v>
      </c>
      <c r="AK60" t="str">
        <f t="shared" si="8"/>
        <v>一般(Normal)</v>
      </c>
      <c r="AO60" t="s">
        <v>65</v>
      </c>
      <c r="AS60" t="str">
        <f>("c2000.")</f>
        <v>c2000.</v>
      </c>
      <c r="AT60" t="str">
        <f t="shared" si="9"/>
        <v>catc</v>
      </c>
    </row>
    <row r="61" spans="1:46" x14ac:dyDescent="0.25">
      <c r="A61">
        <v>50</v>
      </c>
      <c r="B61" t="str">
        <f>("288957")</f>
        <v>288957</v>
      </c>
      <c r="C61" t="str">
        <f>("W00002086")</f>
        <v>W00002086</v>
      </c>
      <c r="D61" t="str">
        <f>("Essence of leadership/ ")</f>
        <v xml:space="preserve">Essence of leadership/ </v>
      </c>
      <c r="E61" t="str">
        <f>("Kakabadse, Andrew")</f>
        <v>Kakabadse, Andrew</v>
      </c>
      <c r="F61" t="str">
        <f>("International Thomson Business Press, ")</f>
        <v xml:space="preserve">International Thomson Business Press, </v>
      </c>
      <c r="G61" t="str">
        <f>("1st. ed.")</f>
        <v>1st. ed.</v>
      </c>
      <c r="H61" t="str">
        <f t="shared" si="12"/>
        <v>圖書 book</v>
      </c>
      <c r="I61" t="str">
        <f>("HD57.7 K11 1999")</f>
        <v>HD57.7 K11 1999</v>
      </c>
      <c r="J61" t="str">
        <f>("1861523688")</f>
        <v>1861523688</v>
      </c>
      <c r="K61" t="str">
        <f>("1112")</f>
        <v>1112</v>
      </c>
      <c r="L61" t="str">
        <f t="shared" si="1"/>
        <v>2001/10/10 00:00:00</v>
      </c>
      <c r="M61" t="str">
        <f t="shared" ref="M61:M69" si="27">("2018/08/11 13:33:51")</f>
        <v>2018/08/11 13:33:51</v>
      </c>
      <c r="N61" t="str">
        <f>("1999")</f>
        <v>1999</v>
      </c>
      <c r="O61" t="str">
        <f t="shared" si="23"/>
        <v>4F西文書庫 4F Western Language Books</v>
      </c>
      <c r="P61" t="s">
        <v>64</v>
      </c>
      <c r="W61" t="str">
        <f t="shared" si="20"/>
        <v>美國國會圖書分類法</v>
      </c>
      <c r="Y61" t="str">
        <f>("HD57.7")</f>
        <v>HD57.7</v>
      </c>
      <c r="Z61" t="str">
        <f t="shared" ref="Z61:Z70" si="28">("2018/08/11 13:33:51")</f>
        <v>2018/08/11 13:33:51</v>
      </c>
      <c r="AA61" t="str">
        <f t="shared" si="4"/>
        <v>catc</v>
      </c>
      <c r="AC61" t="str">
        <f>("K11")</f>
        <v>K11</v>
      </c>
      <c r="AE61" t="str">
        <f t="shared" si="21"/>
        <v>c.1</v>
      </c>
      <c r="AF61" t="str">
        <f t="shared" si="25"/>
        <v>1.可借圖書</v>
      </c>
      <c r="AG61" t="str">
        <f t="shared" si="26"/>
        <v>在架</v>
      </c>
      <c r="AI61" t="s">
        <v>65</v>
      </c>
      <c r="AK61" t="str">
        <f t="shared" si="8"/>
        <v>一般(Normal)</v>
      </c>
      <c r="AO61" t="s">
        <v>65</v>
      </c>
      <c r="AS61" t="str">
        <f>("c1999.")</f>
        <v>c1999.</v>
      </c>
      <c r="AT61" t="str">
        <f t="shared" si="9"/>
        <v>catc</v>
      </c>
    </row>
    <row r="62" spans="1:46" x14ac:dyDescent="0.25">
      <c r="A62">
        <v>51</v>
      </c>
      <c r="B62" t="str">
        <f>("288958")</f>
        <v>288958</v>
      </c>
      <c r="C62" t="str">
        <f>("W00002087")</f>
        <v>W00002087</v>
      </c>
      <c r="D62" t="str">
        <f>("The vulture investors /")</f>
        <v>The vulture investors /</v>
      </c>
      <c r="E62" t="str">
        <f>("Rosenberg, Hilary,1958- ")</f>
        <v xml:space="preserve">Rosenberg, Hilary,1958- </v>
      </c>
      <c r="F62" t="str">
        <f>("Wiley,")</f>
        <v>Wiley,</v>
      </c>
      <c r="G62" t="str">
        <f>("Rev. ed ")</f>
        <v xml:space="preserve">Rev. ed </v>
      </c>
      <c r="H62" t="str">
        <f t="shared" si="12"/>
        <v>圖書 book</v>
      </c>
      <c r="I62" t="str">
        <f>("HG4028.M4 R813 2000")</f>
        <v>HG4028.M4 R813 2000</v>
      </c>
      <c r="J62" t="str">
        <f>("0471361895")</f>
        <v>0471361895</v>
      </c>
      <c r="K62" t="str">
        <f>("840")</f>
        <v>840</v>
      </c>
      <c r="L62" t="str">
        <f t="shared" si="1"/>
        <v>2001/10/10 00:00:00</v>
      </c>
      <c r="M62" t="str">
        <f t="shared" si="27"/>
        <v>2018/08/11 13:33:51</v>
      </c>
      <c r="N62" t="str">
        <f>("2000")</f>
        <v>2000</v>
      </c>
      <c r="O62" t="str">
        <f t="shared" si="23"/>
        <v>4F西文書庫 4F Western Language Books</v>
      </c>
      <c r="P62" t="s">
        <v>64</v>
      </c>
      <c r="W62" t="str">
        <f t="shared" si="20"/>
        <v>美國國會圖書分類法</v>
      </c>
      <c r="Y62" t="str">
        <f>("HG4028.M4")</f>
        <v>HG4028.M4</v>
      </c>
      <c r="Z62" t="str">
        <f t="shared" si="28"/>
        <v>2018/08/11 13:33:51</v>
      </c>
      <c r="AA62" t="str">
        <f t="shared" si="4"/>
        <v>catc</v>
      </c>
      <c r="AC62" t="str">
        <f>("R813")</f>
        <v>R813</v>
      </c>
      <c r="AE62" t="str">
        <f t="shared" si="21"/>
        <v>c.1</v>
      </c>
      <c r="AF62" t="str">
        <f t="shared" si="25"/>
        <v>1.可借圖書</v>
      </c>
      <c r="AG62" t="str">
        <f t="shared" si="26"/>
        <v>在架</v>
      </c>
      <c r="AI62" t="s">
        <v>65</v>
      </c>
      <c r="AK62" t="str">
        <f t="shared" si="8"/>
        <v>一般(Normal)</v>
      </c>
      <c r="AO62" t="s">
        <v>65</v>
      </c>
      <c r="AS62" t="str">
        <f>("c2000 ")</f>
        <v xml:space="preserve">c2000 </v>
      </c>
      <c r="AT62" t="str">
        <f t="shared" si="9"/>
        <v>catc</v>
      </c>
    </row>
    <row r="63" spans="1:46" x14ac:dyDescent="0.25">
      <c r="A63">
        <v>52</v>
      </c>
      <c r="B63" t="str">
        <f>("288959")</f>
        <v>288959</v>
      </c>
      <c r="C63" t="str">
        <f>("W00002088")</f>
        <v>W00002088</v>
      </c>
      <c r="D63" t="str">
        <f>("Angel investing : matching startup funds with startup companies : the guide for entrepreneurs, individual investors, and venture capitalists / ")</f>
        <v xml:space="preserve">Angel investing : matching startup funds with startup companies : the guide for entrepreneurs, individual investors, and venture capitalists / </v>
      </c>
      <c r="E63" t="str">
        <f>("Van Osnabrugge, Mark, 1972- ")</f>
        <v xml:space="preserve">Van Osnabrugge, Mark, 1972- </v>
      </c>
      <c r="F63" t="str">
        <f>("Jossey-Bass, ")</f>
        <v xml:space="preserve">Jossey-Bass, </v>
      </c>
      <c r="G63" t="str">
        <f>("1st ed. ")</f>
        <v xml:space="preserve">1st ed. </v>
      </c>
      <c r="H63" t="str">
        <f t="shared" si="12"/>
        <v>圖書 book</v>
      </c>
      <c r="I63" t="str">
        <f>("HG4027.6 V217 2000")</f>
        <v>HG4027.6 V217 2000</v>
      </c>
      <c r="J63" t="str">
        <f>("0787952028")</f>
        <v>0787952028</v>
      </c>
      <c r="K63" t="str">
        <f>("872")</f>
        <v>872</v>
      </c>
      <c r="L63" t="str">
        <f t="shared" si="1"/>
        <v>2001/10/10 00:00:00</v>
      </c>
      <c r="M63" t="str">
        <f t="shared" si="27"/>
        <v>2018/08/11 13:33:51</v>
      </c>
      <c r="N63" t="str">
        <f>("2000")</f>
        <v>2000</v>
      </c>
      <c r="O63" t="str">
        <f t="shared" si="23"/>
        <v>4F西文書庫 4F Western Language Books</v>
      </c>
      <c r="P63" t="s">
        <v>64</v>
      </c>
      <c r="W63" t="str">
        <f t="shared" si="20"/>
        <v>美國國會圖書分類法</v>
      </c>
      <c r="Y63" t="str">
        <f>("HG4027.6")</f>
        <v>HG4027.6</v>
      </c>
      <c r="Z63" t="str">
        <f t="shared" si="28"/>
        <v>2018/08/11 13:33:51</v>
      </c>
      <c r="AA63" t="str">
        <f t="shared" si="4"/>
        <v>catc</v>
      </c>
      <c r="AC63" t="str">
        <f>("V217")</f>
        <v>V217</v>
      </c>
      <c r="AE63" t="str">
        <f t="shared" si="21"/>
        <v>c.1</v>
      </c>
      <c r="AF63" t="str">
        <f t="shared" si="25"/>
        <v>1.可借圖書</v>
      </c>
      <c r="AG63" t="str">
        <f t="shared" si="26"/>
        <v>在架</v>
      </c>
      <c r="AI63" t="s">
        <v>65</v>
      </c>
      <c r="AK63" t="str">
        <f t="shared" si="8"/>
        <v>一般(Normal)</v>
      </c>
      <c r="AO63" t="s">
        <v>65</v>
      </c>
      <c r="AS63" t="str">
        <f>("c2000. ")</f>
        <v xml:space="preserve">c2000. </v>
      </c>
      <c r="AT63" t="str">
        <f t="shared" si="9"/>
        <v>catc</v>
      </c>
    </row>
    <row r="64" spans="1:46" x14ac:dyDescent="0.25">
      <c r="A64">
        <v>53</v>
      </c>
      <c r="B64" t="str">
        <f>("288960")</f>
        <v>288960</v>
      </c>
      <c r="C64" t="str">
        <f>("W00002089")</f>
        <v>W00002089</v>
      </c>
      <c r="D64" t="str">
        <f>("The secrets of investing in technology stocks/ ")</f>
        <v xml:space="preserve">The secrets of investing in technology stocks/ </v>
      </c>
      <c r="E64" t="str">
        <f>("Trapunski, Edward 1947-")</f>
        <v>Trapunski, Edward 1947-</v>
      </c>
      <c r="F64" t="str">
        <f>("John wiley &amp; sons, ")</f>
        <v xml:space="preserve">John wiley &amp; sons, </v>
      </c>
      <c r="G64" t="str">
        <f>("2nd ed.")</f>
        <v>2nd ed.</v>
      </c>
      <c r="H64" t="str">
        <f t="shared" si="12"/>
        <v>圖書 book</v>
      </c>
      <c r="I64" t="str">
        <f>("HG4661 T773 2001")</f>
        <v>HG4661 T773 2001</v>
      </c>
      <c r="J64" t="str">
        <f>("0471645656")</f>
        <v>0471645656</v>
      </c>
      <c r="K64" t="str">
        <f>("576")</f>
        <v>576</v>
      </c>
      <c r="L64" t="str">
        <f t="shared" si="1"/>
        <v>2001/10/10 00:00:00</v>
      </c>
      <c r="M64" t="str">
        <f t="shared" si="27"/>
        <v>2018/08/11 13:33:51</v>
      </c>
      <c r="N64" t="str">
        <f>("2001")</f>
        <v>2001</v>
      </c>
      <c r="O64" t="str">
        <f t="shared" si="23"/>
        <v>4F西文書庫 4F Western Language Books</v>
      </c>
      <c r="P64" t="s">
        <v>64</v>
      </c>
      <c r="W64" t="str">
        <f t="shared" si="20"/>
        <v>美國國會圖書分類法</v>
      </c>
      <c r="Y64" t="str">
        <f>("HG4661")</f>
        <v>HG4661</v>
      </c>
      <c r="Z64" t="str">
        <f t="shared" si="28"/>
        <v>2018/08/11 13:33:51</v>
      </c>
      <c r="AA64" t="str">
        <f t="shared" si="4"/>
        <v>catc</v>
      </c>
      <c r="AC64" t="str">
        <f>("T773")</f>
        <v>T773</v>
      </c>
      <c r="AE64" t="str">
        <f t="shared" si="21"/>
        <v>c.1</v>
      </c>
      <c r="AF64" t="str">
        <f t="shared" si="25"/>
        <v>1.可借圖書</v>
      </c>
      <c r="AG64" t="str">
        <f t="shared" si="26"/>
        <v>在架</v>
      </c>
      <c r="AI64" t="s">
        <v>65</v>
      </c>
      <c r="AK64" t="str">
        <f t="shared" si="8"/>
        <v>一般(Normal)</v>
      </c>
      <c r="AO64" t="s">
        <v>65</v>
      </c>
      <c r="AS64" t="str">
        <f>("c2001.")</f>
        <v>c2001.</v>
      </c>
      <c r="AT64" t="str">
        <f t="shared" si="9"/>
        <v>catc</v>
      </c>
    </row>
    <row r="65" spans="1:46" x14ac:dyDescent="0.25">
      <c r="A65">
        <v>54</v>
      </c>
      <c r="B65" t="str">
        <f>("288982")</f>
        <v>288982</v>
      </c>
      <c r="C65" t="str">
        <f>("W00002090")</f>
        <v>W00002090</v>
      </c>
      <c r="D65" t="str">
        <f>("Computer supported cooperative work :Issues and implications for workers, organizations, and human resource management/ ")</f>
        <v xml:space="preserve">Computer supported cooperative work :Issues and implications for workers, organizations, and human resource management/ </v>
      </c>
      <c r="E65" t="str">
        <f>("Coovert, Michael D.")</f>
        <v>Coovert, Michael D.</v>
      </c>
      <c r="F65" t="str">
        <f>(" Sage, ")</f>
        <v xml:space="preserve"> Sage, </v>
      </c>
      <c r="H65" t="str">
        <f t="shared" si="12"/>
        <v>圖書 book</v>
      </c>
      <c r="I65" t="str">
        <f>("HD66.2 C767 2001")</f>
        <v>HD66.2 C767 2001</v>
      </c>
      <c r="J65" t="str">
        <f>("0761905723;0761905731")</f>
        <v>0761905723;0761905731</v>
      </c>
      <c r="K65" t="str">
        <f>("836")</f>
        <v>836</v>
      </c>
      <c r="L65" t="str">
        <f t="shared" si="1"/>
        <v>2001/10/10 00:00:00</v>
      </c>
      <c r="M65" t="str">
        <f t="shared" si="27"/>
        <v>2018/08/11 13:33:51</v>
      </c>
      <c r="N65" t="str">
        <f>("2001")</f>
        <v>2001</v>
      </c>
      <c r="O65" t="str">
        <f t="shared" si="23"/>
        <v>4F西文書庫 4F Western Language Books</v>
      </c>
      <c r="P65" t="s">
        <v>64</v>
      </c>
      <c r="W65" t="str">
        <f t="shared" si="20"/>
        <v>美國國會圖書分類法</v>
      </c>
      <c r="Y65" t="str">
        <f>("HD66.2")</f>
        <v>HD66.2</v>
      </c>
      <c r="Z65" t="str">
        <f t="shared" si="28"/>
        <v>2018/08/11 13:33:51</v>
      </c>
      <c r="AA65" t="str">
        <f t="shared" si="4"/>
        <v>catc</v>
      </c>
      <c r="AC65" t="str">
        <f>("C767")</f>
        <v>C767</v>
      </c>
      <c r="AE65" t="str">
        <f t="shared" si="21"/>
        <v>c.1</v>
      </c>
      <c r="AF65" t="str">
        <f t="shared" si="25"/>
        <v>1.可借圖書</v>
      </c>
      <c r="AG65" t="str">
        <f t="shared" si="26"/>
        <v>在架</v>
      </c>
      <c r="AI65" t="s">
        <v>65</v>
      </c>
      <c r="AK65" t="str">
        <f t="shared" si="8"/>
        <v>一般(Normal)</v>
      </c>
      <c r="AO65" t="s">
        <v>65</v>
      </c>
      <c r="AS65" t="str">
        <f>("c2001. ")</f>
        <v xml:space="preserve">c2001. </v>
      </c>
      <c r="AT65" t="str">
        <f t="shared" si="9"/>
        <v>catc</v>
      </c>
    </row>
    <row r="66" spans="1:46" x14ac:dyDescent="0.25">
      <c r="A66">
        <v>55</v>
      </c>
      <c r="B66" t="str">
        <f>("288983")</f>
        <v>288983</v>
      </c>
      <c r="C66" t="str">
        <f>("W00002091")</f>
        <v>W00002091</v>
      </c>
      <c r="D66" t="str">
        <f>("Handbook of online marketing research / ")</f>
        <v xml:space="preserve">Handbook of online marketing research / </v>
      </c>
      <c r="E66" t="str">
        <f>("Grossnickle, Joshua. ")</f>
        <v xml:space="preserve">Grossnickle, Joshua. </v>
      </c>
      <c r="F66" t="str">
        <f>("McGraw-Hill, ")</f>
        <v xml:space="preserve">McGraw-Hill, </v>
      </c>
      <c r="H66" t="str">
        <f t="shared" si="12"/>
        <v>圖書 book</v>
      </c>
      <c r="I66" t="str">
        <f>("HF5415.1265 G878 2001")</f>
        <v>HF5415.1265 G878 2001</v>
      </c>
      <c r="J66" t="str">
        <f>("0071361146")</f>
        <v>0071361146</v>
      </c>
      <c r="K66" t="str">
        <f>("1184")</f>
        <v>1184</v>
      </c>
      <c r="L66" t="str">
        <f t="shared" si="1"/>
        <v>2001/10/10 00:00:00</v>
      </c>
      <c r="M66" t="str">
        <f t="shared" si="27"/>
        <v>2018/08/11 13:33:51</v>
      </c>
      <c r="N66" t="str">
        <f>("2001")</f>
        <v>2001</v>
      </c>
      <c r="O66" t="str">
        <f t="shared" si="23"/>
        <v>4F西文書庫 4F Western Language Books</v>
      </c>
      <c r="P66" t="s">
        <v>64</v>
      </c>
      <c r="W66" t="str">
        <f t="shared" si="20"/>
        <v>美國國會圖書分類法</v>
      </c>
      <c r="Y66" t="str">
        <f>("HF5415.1265")</f>
        <v>HF5415.1265</v>
      </c>
      <c r="Z66" t="str">
        <f t="shared" si="28"/>
        <v>2018/08/11 13:33:51</v>
      </c>
      <c r="AA66" t="str">
        <f t="shared" si="4"/>
        <v>catc</v>
      </c>
      <c r="AC66" t="str">
        <f>("G878")</f>
        <v>G878</v>
      </c>
      <c r="AE66" t="str">
        <f t="shared" si="21"/>
        <v>c.1</v>
      </c>
      <c r="AF66" t="str">
        <f t="shared" si="25"/>
        <v>1.可借圖書</v>
      </c>
      <c r="AG66" t="str">
        <f t="shared" si="26"/>
        <v>在架</v>
      </c>
      <c r="AI66" t="s">
        <v>65</v>
      </c>
      <c r="AK66" t="str">
        <f t="shared" si="8"/>
        <v>一般(Normal)</v>
      </c>
      <c r="AO66" t="s">
        <v>65</v>
      </c>
      <c r="AS66" t="str">
        <f>("c2001. ")</f>
        <v xml:space="preserve">c2001. </v>
      </c>
      <c r="AT66" t="str">
        <f t="shared" si="9"/>
        <v>catc</v>
      </c>
    </row>
    <row r="67" spans="1:46" x14ac:dyDescent="0.25">
      <c r="A67">
        <v>56</v>
      </c>
      <c r="B67" t="str">
        <f>("288984")</f>
        <v>288984</v>
      </c>
      <c r="C67" t="str">
        <f>("W00002092")</f>
        <v>W00002092</v>
      </c>
      <c r="D67" t="str">
        <f>("Strategic thinking for the next economy /")</f>
        <v>Strategic thinking for the next economy /</v>
      </c>
      <c r="E67" t="str">
        <f>("Cusumano, Michael A.1945-")</f>
        <v>Cusumano, Michael A.1945-</v>
      </c>
      <c r="F67" t="str">
        <f>("Jossey-Bass ,")</f>
        <v>Jossey-Bass ,</v>
      </c>
      <c r="G67" t="str">
        <f>("1st ed.")</f>
        <v>1st ed.</v>
      </c>
      <c r="H67" t="str">
        <f t="shared" si="12"/>
        <v>圖書 book</v>
      </c>
      <c r="I67" t="str">
        <f>("HD30.23 S898 2001")</f>
        <v>HD30.23 S898 2001</v>
      </c>
      <c r="J67" t="str">
        <f>("0787957291")</f>
        <v>0787957291</v>
      </c>
      <c r="K67" t="str">
        <f>("604")</f>
        <v>604</v>
      </c>
      <c r="L67" t="str">
        <f t="shared" si="1"/>
        <v>2001/10/10 00:00:00</v>
      </c>
      <c r="M67" t="str">
        <f t="shared" si="27"/>
        <v>2018/08/11 13:33:51</v>
      </c>
      <c r="N67" t="str">
        <f>("2001")</f>
        <v>2001</v>
      </c>
      <c r="O67" t="str">
        <f t="shared" si="23"/>
        <v>4F西文書庫 4F Western Language Books</v>
      </c>
      <c r="P67" t="s">
        <v>64</v>
      </c>
      <c r="W67" t="str">
        <f t="shared" si="20"/>
        <v>美國國會圖書分類法</v>
      </c>
      <c r="Y67" t="str">
        <f>("HD30.23")</f>
        <v>HD30.23</v>
      </c>
      <c r="Z67" t="str">
        <f t="shared" si="28"/>
        <v>2018/08/11 13:33:51</v>
      </c>
      <c r="AA67" t="str">
        <f t="shared" si="4"/>
        <v>catc</v>
      </c>
      <c r="AC67" t="str">
        <f>("S898")</f>
        <v>S898</v>
      </c>
      <c r="AE67" t="str">
        <f t="shared" si="21"/>
        <v>c.1</v>
      </c>
      <c r="AF67" t="str">
        <f t="shared" si="25"/>
        <v>1.可借圖書</v>
      </c>
      <c r="AG67" t="str">
        <f t="shared" si="26"/>
        <v>在架</v>
      </c>
      <c r="AI67" t="s">
        <v>65</v>
      </c>
      <c r="AK67" t="str">
        <f t="shared" si="8"/>
        <v>一般(Normal)</v>
      </c>
      <c r="AO67" t="s">
        <v>65</v>
      </c>
      <c r="AS67" t="str">
        <f>("2001.")</f>
        <v>2001.</v>
      </c>
      <c r="AT67" t="str">
        <f t="shared" si="9"/>
        <v>catc</v>
      </c>
    </row>
    <row r="68" spans="1:46" x14ac:dyDescent="0.25">
      <c r="A68">
        <v>57</v>
      </c>
      <c r="B68" t="str">
        <f>("288985")</f>
        <v>288985</v>
      </c>
      <c r="C68" t="str">
        <f>("W00002093")</f>
        <v>W00002093</v>
      </c>
      <c r="D68" t="str">
        <f>("A team approach to the aquatic continuum of care / ")</f>
        <v xml:space="preserve">A team approach to the aquatic continuum of care / </v>
      </c>
      <c r="E68" t="str">
        <f>("Norton, Charlotte O. ")</f>
        <v xml:space="preserve">Norton, Charlotte O. </v>
      </c>
      <c r="F68" t="str">
        <f>(" Butterworth-Heinemann, ")</f>
        <v xml:space="preserve"> Butterworth-Heinemann, </v>
      </c>
      <c r="H68" t="str">
        <f t="shared" si="12"/>
        <v>圖書 book</v>
      </c>
      <c r="I68" t="str">
        <f>("RM811 N882 2000")</f>
        <v>RM811 N882 2000</v>
      </c>
      <c r="J68" t="str">
        <f>("0750671688")</f>
        <v>0750671688</v>
      </c>
      <c r="K68" t="str">
        <f>("848")</f>
        <v>848</v>
      </c>
      <c r="L68" t="str">
        <f t="shared" si="1"/>
        <v>2001/10/10 00:00:00</v>
      </c>
      <c r="M68" t="str">
        <f t="shared" si="27"/>
        <v>2018/08/11 13:33:51</v>
      </c>
      <c r="N68" t="str">
        <f>("2000")</f>
        <v>2000</v>
      </c>
      <c r="O68" t="str">
        <f t="shared" si="23"/>
        <v>4F西文書庫 4F Western Language Books</v>
      </c>
      <c r="P68" t="s">
        <v>64</v>
      </c>
      <c r="W68" t="str">
        <f t="shared" si="20"/>
        <v>美國國會圖書分類法</v>
      </c>
      <c r="Y68" t="str">
        <f>("RM811")</f>
        <v>RM811</v>
      </c>
      <c r="Z68" t="str">
        <f t="shared" si="28"/>
        <v>2018/08/11 13:33:51</v>
      </c>
      <c r="AA68" t="str">
        <f t="shared" si="4"/>
        <v>catc</v>
      </c>
      <c r="AC68" t="str">
        <f>("N882")</f>
        <v>N882</v>
      </c>
      <c r="AE68" t="str">
        <f t="shared" si="21"/>
        <v>c.1</v>
      </c>
      <c r="AF68" t="str">
        <f t="shared" si="25"/>
        <v>1.可借圖書</v>
      </c>
      <c r="AG68" t="str">
        <f t="shared" si="26"/>
        <v>在架</v>
      </c>
      <c r="AI68" t="s">
        <v>65</v>
      </c>
      <c r="AK68" t="str">
        <f t="shared" si="8"/>
        <v>一般(Normal)</v>
      </c>
      <c r="AO68" t="s">
        <v>65</v>
      </c>
      <c r="AS68" t="str">
        <f>("c2000. ")</f>
        <v xml:space="preserve">c2000. </v>
      </c>
      <c r="AT68" t="str">
        <f t="shared" si="9"/>
        <v>catc</v>
      </c>
    </row>
    <row r="69" spans="1:46" x14ac:dyDescent="0.25">
      <c r="A69">
        <v>58</v>
      </c>
      <c r="B69" t="str">
        <f>("288986")</f>
        <v>288986</v>
      </c>
      <c r="C69" t="str">
        <f>("W00002094")</f>
        <v>W00002094</v>
      </c>
      <c r="D69" t="str">
        <f>("Growing aprivate company: commercial strategies for building a business worth millions/")</f>
        <v>Growing aprivate company: commercial strategies for building a business worth millions/</v>
      </c>
      <c r="E69" t="str">
        <f>("")</f>
        <v/>
      </c>
      <c r="F69" t="str">
        <f>("Ian Smith, ")</f>
        <v xml:space="preserve">Ian Smith, </v>
      </c>
      <c r="G69" t="str">
        <f>("1st ed.")</f>
        <v>1st ed.</v>
      </c>
      <c r="H69" t="str">
        <f t="shared" si="12"/>
        <v>圖書 book</v>
      </c>
      <c r="I69" t="str">
        <f>("HG1642 G873 2001")</f>
        <v>HG1642 G873 2001</v>
      </c>
      <c r="J69" t="str">
        <f>("0749432802")</f>
        <v>0749432802</v>
      </c>
      <c r="K69" t="str">
        <f>("708")</f>
        <v>708</v>
      </c>
      <c r="L69" t="str">
        <f t="shared" si="1"/>
        <v>2001/10/10 00:00:00</v>
      </c>
      <c r="M69" t="str">
        <f t="shared" si="27"/>
        <v>2018/08/11 13:33:51</v>
      </c>
      <c r="N69" t="str">
        <f>("2001")</f>
        <v>2001</v>
      </c>
      <c r="O69" t="str">
        <f t="shared" si="23"/>
        <v>4F西文書庫 4F Western Language Books</v>
      </c>
      <c r="P69" t="s">
        <v>64</v>
      </c>
      <c r="W69" t="str">
        <f t="shared" si="20"/>
        <v>美國國會圖書分類法</v>
      </c>
      <c r="Y69" t="str">
        <f>("HG1642")</f>
        <v>HG1642</v>
      </c>
      <c r="Z69" t="str">
        <f t="shared" si="28"/>
        <v>2018/08/11 13:33:51</v>
      </c>
      <c r="AA69" t="str">
        <f t="shared" si="4"/>
        <v>catc</v>
      </c>
      <c r="AC69" t="str">
        <f>("G873")</f>
        <v>G873</v>
      </c>
      <c r="AE69" t="str">
        <f t="shared" si="21"/>
        <v>c.1</v>
      </c>
      <c r="AF69" t="str">
        <f t="shared" si="25"/>
        <v>1.可借圖書</v>
      </c>
      <c r="AG69" t="str">
        <f t="shared" si="26"/>
        <v>在架</v>
      </c>
      <c r="AI69" t="s">
        <v>65</v>
      </c>
      <c r="AK69" t="str">
        <f t="shared" si="8"/>
        <v>一般(Normal)</v>
      </c>
      <c r="AO69" t="s">
        <v>65</v>
      </c>
      <c r="AS69" t="str">
        <f>("c2001.")</f>
        <v>c2001.</v>
      </c>
      <c r="AT69" t="str">
        <f t="shared" si="9"/>
        <v>catc</v>
      </c>
    </row>
    <row r="70" spans="1:46" x14ac:dyDescent="0.25">
      <c r="A70">
        <v>59</v>
      </c>
      <c r="B70" t="str">
        <f>("289001")</f>
        <v>289001</v>
      </c>
      <c r="C70" t="str">
        <f>("W00002095")</f>
        <v>W00002095</v>
      </c>
      <c r="D70" t="str">
        <f>("Blown to bits :how the new economics of information transforms strategy /")</f>
        <v>Blown to bits :how the new economics of information transforms strategy /</v>
      </c>
      <c r="E70" t="str">
        <f>("Evans, Philip ,1950-")</f>
        <v>Evans, Philip ,1950-</v>
      </c>
      <c r="F70" t="str">
        <f>("Harvard Business School Press ,")</f>
        <v>Harvard Business School Press ,</v>
      </c>
      <c r="H70" t="str">
        <f t="shared" si="12"/>
        <v>圖書 book</v>
      </c>
      <c r="I70" t="str">
        <f>("HC79.I55 E92 1999")</f>
        <v>HC79.I55 E92 1999</v>
      </c>
      <c r="J70" t="str">
        <f>("087584877X")</f>
        <v>087584877X</v>
      </c>
      <c r="K70" t="str">
        <f>("772")</f>
        <v>772</v>
      </c>
      <c r="L70" t="str">
        <f t="shared" si="1"/>
        <v>2001/10/10 00:00:00</v>
      </c>
      <c r="M70" t="str">
        <f t="shared" ref="M70:M76" si="29">("2018/08/11 13:33:52")</f>
        <v>2018/08/11 13:33:52</v>
      </c>
      <c r="N70" t="str">
        <f>("1999")</f>
        <v>1999</v>
      </c>
      <c r="O70" t="str">
        <f t="shared" si="23"/>
        <v>4F西文書庫 4F Western Language Books</v>
      </c>
      <c r="P70" t="s">
        <v>64</v>
      </c>
      <c r="W70" t="str">
        <f t="shared" si="20"/>
        <v>美國國會圖書分類法</v>
      </c>
      <c r="Y70" t="str">
        <f>("HC79.I55")</f>
        <v>HC79.I55</v>
      </c>
      <c r="Z70" t="str">
        <f t="shared" si="28"/>
        <v>2018/08/11 13:33:51</v>
      </c>
      <c r="AA70" t="str">
        <f t="shared" si="4"/>
        <v>catc</v>
      </c>
      <c r="AC70" t="str">
        <f>("E92")</f>
        <v>E92</v>
      </c>
      <c r="AE70" t="str">
        <f t="shared" si="21"/>
        <v>c.1</v>
      </c>
      <c r="AF70" t="str">
        <f t="shared" si="25"/>
        <v>1.可借圖書</v>
      </c>
      <c r="AG70" t="str">
        <f t="shared" si="26"/>
        <v>在架</v>
      </c>
      <c r="AI70" t="s">
        <v>65</v>
      </c>
      <c r="AK70" t="str">
        <f t="shared" si="8"/>
        <v>一般(Normal)</v>
      </c>
      <c r="AO70" t="s">
        <v>65</v>
      </c>
      <c r="AS70" t="str">
        <f>("c1999.")</f>
        <v>c1999.</v>
      </c>
      <c r="AT70" t="str">
        <f t="shared" si="9"/>
        <v>catc</v>
      </c>
    </row>
    <row r="71" spans="1:46" x14ac:dyDescent="0.25">
      <c r="A71">
        <v>60</v>
      </c>
      <c r="B71" t="str">
        <f>("289002")</f>
        <v>289002</v>
      </c>
      <c r="C71" t="str">
        <f>("W00002096")</f>
        <v>W00002096</v>
      </c>
      <c r="D71" t="str">
        <f>("Digital marketing : global strategies from the worldl's leading experts/ ")</f>
        <v xml:space="preserve">Digital marketing : global strategies from the worldl's leading experts/ </v>
      </c>
      <c r="E71" t="str">
        <f>("Wind, Jerry")</f>
        <v>Wind, Jerry</v>
      </c>
      <c r="F71" t="str">
        <f>("Wiley, ")</f>
        <v xml:space="preserve">Wiley, </v>
      </c>
      <c r="H71" t="str">
        <f t="shared" si="12"/>
        <v>圖書 book</v>
      </c>
      <c r="I71" t="str">
        <f>("HF5415.1265 W763 2001")</f>
        <v>HF5415.1265 W763 2001</v>
      </c>
      <c r="J71" t="str">
        <f>("0471361224")</f>
        <v>0471361224</v>
      </c>
      <c r="K71" t="str">
        <f>("1064")</f>
        <v>1064</v>
      </c>
      <c r="L71" t="str">
        <f t="shared" si="1"/>
        <v>2001/10/10 00:00:00</v>
      </c>
      <c r="M71" t="str">
        <f t="shared" si="29"/>
        <v>2018/08/11 13:33:52</v>
      </c>
      <c r="N71" t="str">
        <f>("2001")</f>
        <v>2001</v>
      </c>
      <c r="O71" t="str">
        <f t="shared" si="23"/>
        <v>4F西文書庫 4F Western Language Books</v>
      </c>
      <c r="P71" t="s">
        <v>64</v>
      </c>
      <c r="W71" t="str">
        <f t="shared" si="20"/>
        <v>美國國會圖書分類法</v>
      </c>
      <c r="Y71" t="str">
        <f>("HF5415.1265")</f>
        <v>HF5415.1265</v>
      </c>
      <c r="Z71" t="str">
        <f t="shared" ref="Z71:Z76" si="30">("2018/08/11 13:33:52")</f>
        <v>2018/08/11 13:33:52</v>
      </c>
      <c r="AA71" t="str">
        <f t="shared" si="4"/>
        <v>catc</v>
      </c>
      <c r="AC71" t="str">
        <f>("W763")</f>
        <v>W763</v>
      </c>
      <c r="AE71" t="str">
        <f t="shared" si="21"/>
        <v>c.1</v>
      </c>
      <c r="AF71" t="str">
        <f t="shared" si="25"/>
        <v>1.可借圖書</v>
      </c>
      <c r="AG71" t="str">
        <f t="shared" si="26"/>
        <v>在架</v>
      </c>
      <c r="AI71" t="s">
        <v>65</v>
      </c>
      <c r="AK71" t="str">
        <f t="shared" si="8"/>
        <v>一般(Normal)</v>
      </c>
      <c r="AO71" t="s">
        <v>65</v>
      </c>
      <c r="AS71" t="str">
        <f>("c2001.")</f>
        <v>c2001.</v>
      </c>
      <c r="AT71" t="str">
        <f t="shared" si="9"/>
        <v>catc</v>
      </c>
    </row>
    <row r="72" spans="1:46" x14ac:dyDescent="0.25">
      <c r="A72">
        <v>61</v>
      </c>
      <c r="B72" t="str">
        <f>("289003")</f>
        <v>289003</v>
      </c>
      <c r="C72" t="str">
        <f>("W00002097")</f>
        <v>W00002097</v>
      </c>
      <c r="D72" t="str">
        <f>("Pharmacology  ")</f>
        <v xml:space="preserve">Pharmacology  </v>
      </c>
      <c r="E72" t="str">
        <f>("Paradiso, Catherine. ")</f>
        <v xml:space="preserve">Paradiso, Catherine. </v>
      </c>
      <c r="F72" t="str">
        <f>("Lippincott, ")</f>
        <v xml:space="preserve">Lippincott, </v>
      </c>
      <c r="H72" t="str">
        <f t="shared" si="12"/>
        <v>圖書 book</v>
      </c>
      <c r="I72" t="str">
        <f>("RM301.14 P536 1998")</f>
        <v>RM301.14 P536 1998</v>
      </c>
      <c r="J72" t="str">
        <f>("0397553277")</f>
        <v>0397553277</v>
      </c>
      <c r="K72" t="str">
        <f>("672")</f>
        <v>672</v>
      </c>
      <c r="L72" t="str">
        <f t="shared" si="1"/>
        <v>2001/10/10 00:00:00</v>
      </c>
      <c r="M72" t="str">
        <f t="shared" si="29"/>
        <v>2018/08/11 13:33:52</v>
      </c>
      <c r="N72" t="str">
        <f>("1998")</f>
        <v>1998</v>
      </c>
      <c r="O72" t="str">
        <f t="shared" si="23"/>
        <v>4F西文書庫 4F Western Language Books</v>
      </c>
      <c r="P72" t="s">
        <v>64</v>
      </c>
      <c r="W72" t="str">
        <f t="shared" si="20"/>
        <v>美國國會圖書分類法</v>
      </c>
      <c r="Y72" t="str">
        <f>("RM301.14")</f>
        <v>RM301.14</v>
      </c>
      <c r="Z72" t="str">
        <f t="shared" si="30"/>
        <v>2018/08/11 13:33:52</v>
      </c>
      <c r="AA72" t="str">
        <f t="shared" si="4"/>
        <v>catc</v>
      </c>
      <c r="AC72" t="str">
        <f>("P536")</f>
        <v>P536</v>
      </c>
      <c r="AE72" t="str">
        <f t="shared" si="21"/>
        <v>c.1</v>
      </c>
      <c r="AF72" t="str">
        <f t="shared" si="25"/>
        <v>1.可借圖書</v>
      </c>
      <c r="AG72" t="str">
        <f t="shared" si="26"/>
        <v>在架</v>
      </c>
      <c r="AI72" t="s">
        <v>65</v>
      </c>
      <c r="AK72" t="str">
        <f t="shared" si="8"/>
        <v>一般(Normal)</v>
      </c>
      <c r="AO72" t="s">
        <v>65</v>
      </c>
      <c r="AS72" t="str">
        <f>("c1998. ")</f>
        <v xml:space="preserve">c1998. </v>
      </c>
      <c r="AT72" t="str">
        <f t="shared" si="9"/>
        <v>catc</v>
      </c>
    </row>
    <row r="73" spans="1:46" x14ac:dyDescent="0.25">
      <c r="A73">
        <v>62</v>
      </c>
      <c r="B73" t="str">
        <f>("289004")</f>
        <v>289004</v>
      </c>
      <c r="C73" t="str">
        <f>("W00002098")</f>
        <v>W00002098</v>
      </c>
      <c r="D73" t="str">
        <f>("The UK &amp; the Euro /")</f>
        <v>The UK &amp; the Euro /</v>
      </c>
      <c r="E73" t="str">
        <f>("Temperton, Paul,1958-")</f>
        <v>Temperton, Paul,1958-</v>
      </c>
      <c r="F73" t="str">
        <f>("John wiley &amp; sons LTD.,")</f>
        <v>John wiley &amp; sons LTD.,</v>
      </c>
      <c r="H73" t="str">
        <f t="shared" si="12"/>
        <v>圖書 book</v>
      </c>
      <c r="I73" t="str">
        <f>("HG939.5 T828 2001")</f>
        <v>HG939.5 T828 2001</v>
      </c>
      <c r="J73" t="str">
        <f>("0471499552")</f>
        <v>0471499552</v>
      </c>
      <c r="K73" t="str">
        <f>("820")</f>
        <v>820</v>
      </c>
      <c r="L73" t="str">
        <f t="shared" si="1"/>
        <v>2001/10/10 00:00:00</v>
      </c>
      <c r="M73" t="str">
        <f t="shared" si="29"/>
        <v>2018/08/11 13:33:52</v>
      </c>
      <c r="N73" t="str">
        <f>("2001")</f>
        <v>2001</v>
      </c>
      <c r="O73" t="str">
        <f t="shared" si="23"/>
        <v>4F西文書庫 4F Western Language Books</v>
      </c>
      <c r="P73" t="s">
        <v>64</v>
      </c>
      <c r="W73" t="str">
        <f t="shared" si="20"/>
        <v>美國國會圖書分類法</v>
      </c>
      <c r="Y73" t="str">
        <f>("HG939.5")</f>
        <v>HG939.5</v>
      </c>
      <c r="Z73" t="str">
        <f t="shared" si="30"/>
        <v>2018/08/11 13:33:52</v>
      </c>
      <c r="AA73" t="str">
        <f t="shared" si="4"/>
        <v>catc</v>
      </c>
      <c r="AC73" t="str">
        <f>("T828")</f>
        <v>T828</v>
      </c>
      <c r="AE73" t="str">
        <f t="shared" si="21"/>
        <v>c.1</v>
      </c>
      <c r="AF73" t="str">
        <f t="shared" si="25"/>
        <v>1.可借圖書</v>
      </c>
      <c r="AG73" t="str">
        <f t="shared" si="26"/>
        <v>在架</v>
      </c>
      <c r="AI73" t="s">
        <v>65</v>
      </c>
      <c r="AK73" t="str">
        <f t="shared" si="8"/>
        <v>一般(Normal)</v>
      </c>
      <c r="AO73" t="s">
        <v>65</v>
      </c>
      <c r="AS73" t="str">
        <f>("2001.")</f>
        <v>2001.</v>
      </c>
      <c r="AT73" t="str">
        <f t="shared" si="9"/>
        <v>catc</v>
      </c>
    </row>
    <row r="74" spans="1:46" x14ac:dyDescent="0.25">
      <c r="A74">
        <v>63</v>
      </c>
      <c r="B74" t="str">
        <f>("289005")</f>
        <v>289005</v>
      </c>
      <c r="C74" t="str">
        <f>("W00002099")</f>
        <v>W00002099</v>
      </c>
      <c r="D74" t="str">
        <f>("Expert financial planning : investment strategies from industry leaders / ")</f>
        <v xml:space="preserve">Expert financial planning : investment strategies from industry leaders / </v>
      </c>
      <c r="E74" t="str">
        <f>("Arffa, Robert C. ")</f>
        <v xml:space="preserve">Arffa, Robert C. </v>
      </c>
      <c r="F74" t="str">
        <f>("Wiley, ")</f>
        <v xml:space="preserve">Wiley, </v>
      </c>
      <c r="H74" t="str">
        <f t="shared" si="12"/>
        <v>圖書 book</v>
      </c>
      <c r="I74" t="str">
        <f>("HG179 A685 2001")</f>
        <v>HG179 A685 2001</v>
      </c>
      <c r="J74" t="str">
        <f>("0471393665")</f>
        <v>0471393665</v>
      </c>
      <c r="K74" t="str">
        <f>("1498")</f>
        <v>1498</v>
      </c>
      <c r="L74" t="str">
        <f t="shared" si="1"/>
        <v>2001/10/10 00:00:00</v>
      </c>
      <c r="M74" t="str">
        <f t="shared" si="29"/>
        <v>2018/08/11 13:33:52</v>
      </c>
      <c r="N74" t="str">
        <f>("2001")</f>
        <v>2001</v>
      </c>
      <c r="O74" t="str">
        <f t="shared" si="23"/>
        <v>4F西文書庫 4F Western Language Books</v>
      </c>
      <c r="P74" t="s">
        <v>64</v>
      </c>
      <c r="W74" t="str">
        <f t="shared" si="20"/>
        <v>美國國會圖書分類法</v>
      </c>
      <c r="Y74" t="str">
        <f>("HG179")</f>
        <v>HG179</v>
      </c>
      <c r="Z74" t="str">
        <f t="shared" si="30"/>
        <v>2018/08/11 13:33:52</v>
      </c>
      <c r="AA74" t="str">
        <f t="shared" si="4"/>
        <v>catc</v>
      </c>
      <c r="AC74" t="str">
        <f>("A685")</f>
        <v>A685</v>
      </c>
      <c r="AE74" t="str">
        <f t="shared" si="21"/>
        <v>c.1</v>
      </c>
      <c r="AF74" t="str">
        <f t="shared" si="25"/>
        <v>1.可借圖書</v>
      </c>
      <c r="AG74" t="str">
        <f t="shared" si="26"/>
        <v>在架</v>
      </c>
      <c r="AI74" t="s">
        <v>65</v>
      </c>
      <c r="AK74" t="str">
        <f t="shared" si="8"/>
        <v>一般(Normal)</v>
      </c>
      <c r="AO74" t="s">
        <v>65</v>
      </c>
      <c r="AS74" t="str">
        <f>("c2001. ")</f>
        <v xml:space="preserve">c2001. </v>
      </c>
      <c r="AT74" t="str">
        <f t="shared" si="9"/>
        <v>catc</v>
      </c>
    </row>
    <row r="75" spans="1:46" x14ac:dyDescent="0.25">
      <c r="A75">
        <v>64</v>
      </c>
      <c r="B75" t="str">
        <f>("288987")</f>
        <v>288987</v>
      </c>
      <c r="C75" t="str">
        <f>("W00002100")</f>
        <v>W00002100</v>
      </c>
      <c r="D75" t="str">
        <f>("Customer relationship management :a strategic imperative in the world of e-business /")</f>
        <v>Customer relationship management :a strategic imperative in the world of e-business /</v>
      </c>
      <c r="E75" t="str">
        <f>("Brown, Stanley A. ,1946- ")</f>
        <v xml:space="preserve">Brown, Stanley A. ,1946- </v>
      </c>
      <c r="F75" t="str">
        <f>("John Wiley &amp; Sons Canada ,")</f>
        <v>John Wiley &amp; Sons Canada ,</v>
      </c>
      <c r="H75" t="str">
        <f t="shared" si="12"/>
        <v>圖書 book</v>
      </c>
      <c r="I75" t="str">
        <f>("HF5415.5 B882 2000")</f>
        <v>HF5415.5 B882 2000</v>
      </c>
      <c r="J75" t="str">
        <f>("0471644099")</f>
        <v>0471644099</v>
      </c>
      <c r="K75" t="str">
        <f>("912")</f>
        <v>912</v>
      </c>
      <c r="L75" t="str">
        <f t="shared" si="1"/>
        <v>2001/10/10 00:00:00</v>
      </c>
      <c r="M75" t="str">
        <f t="shared" si="29"/>
        <v>2018/08/11 13:33:52</v>
      </c>
      <c r="N75" t="str">
        <f>("2000")</f>
        <v>2000</v>
      </c>
      <c r="O75" t="str">
        <f t="shared" si="23"/>
        <v>4F西文書庫 4F Western Language Books</v>
      </c>
      <c r="P75" t="s">
        <v>64</v>
      </c>
      <c r="W75" t="str">
        <f t="shared" si="20"/>
        <v>美國國會圖書分類法</v>
      </c>
      <c r="Y75" t="str">
        <f>("HF5415.5")</f>
        <v>HF5415.5</v>
      </c>
      <c r="Z75" t="str">
        <f t="shared" si="30"/>
        <v>2018/08/11 13:33:52</v>
      </c>
      <c r="AA75" t="str">
        <f t="shared" si="4"/>
        <v>catc</v>
      </c>
      <c r="AC75" t="str">
        <f>("B882")</f>
        <v>B882</v>
      </c>
      <c r="AE75" t="str">
        <f t="shared" si="21"/>
        <v>c.1</v>
      </c>
      <c r="AF75" t="str">
        <f t="shared" si="25"/>
        <v>1.可借圖書</v>
      </c>
      <c r="AG75" t="str">
        <f t="shared" si="26"/>
        <v>在架</v>
      </c>
      <c r="AI75" t="s">
        <v>65</v>
      </c>
      <c r="AK75" t="str">
        <f t="shared" si="8"/>
        <v>一般(Normal)</v>
      </c>
      <c r="AO75" t="s">
        <v>65</v>
      </c>
      <c r="AS75" t="str">
        <f>("c2000.")</f>
        <v>c2000.</v>
      </c>
      <c r="AT75" t="str">
        <f t="shared" si="9"/>
        <v>catc</v>
      </c>
    </row>
    <row r="76" spans="1:46" x14ac:dyDescent="0.25">
      <c r="A76">
        <v>65</v>
      </c>
      <c r="B76" t="str">
        <f>("288988")</f>
        <v>288988</v>
      </c>
      <c r="C76" t="str">
        <f>("W00002101")</f>
        <v>W00002101</v>
      </c>
      <c r="D76" t="str">
        <f>("A vision for the future : in conversation with financial strategists / ")</f>
        <v xml:space="preserve">A vision for the future : in conversation with financial strategists / </v>
      </c>
      <c r="E76" t="str">
        <f>("Keuleneer, Luc, 1959- ;Swagerman, Dirk, 1949- ;Verhoog, Willem, 1950- ")</f>
        <v xml:space="preserve">Keuleneer, Luc, 1959- ;Swagerman, Dirk, 1949- ;Verhoog, Willem, 1950- </v>
      </c>
      <c r="F76" t="str">
        <f>("J Wiley &amp; Sons, ")</f>
        <v xml:space="preserve">J Wiley &amp; Sons, </v>
      </c>
      <c r="H76" t="str">
        <f t="shared" si="12"/>
        <v>圖書 book</v>
      </c>
      <c r="I76" t="str">
        <f>("HG173 V831 2001")</f>
        <v>HG173 V831 2001</v>
      </c>
      <c r="J76" t="str">
        <f>("0471497851")</f>
        <v>0471497851</v>
      </c>
      <c r="K76" t="str">
        <f>("728")</f>
        <v>728</v>
      </c>
      <c r="L76" t="str">
        <f t="shared" ref="L76:L139" si="31">("2001/10/10 00:00:00")</f>
        <v>2001/10/10 00:00:00</v>
      </c>
      <c r="M76" t="str">
        <f t="shared" si="29"/>
        <v>2018/08/11 13:33:52</v>
      </c>
      <c r="N76" t="str">
        <f>("2001")</f>
        <v>2001</v>
      </c>
      <c r="O76" t="str">
        <f t="shared" si="23"/>
        <v>4F西文書庫 4F Western Language Books</v>
      </c>
      <c r="P76" t="s">
        <v>64</v>
      </c>
      <c r="W76" t="str">
        <f t="shared" ref="W76:W107" si="32">("美國國會圖書分類法")</f>
        <v>美國國會圖書分類法</v>
      </c>
      <c r="Y76" t="str">
        <f>("HG173")</f>
        <v>HG173</v>
      </c>
      <c r="Z76" t="str">
        <f t="shared" si="30"/>
        <v>2018/08/11 13:33:52</v>
      </c>
      <c r="AA76" t="str">
        <f t="shared" ref="AA76:AA139" si="33">("catc")</f>
        <v>catc</v>
      </c>
      <c r="AC76" t="str">
        <f>("V831")</f>
        <v>V831</v>
      </c>
      <c r="AE76" t="str">
        <f t="shared" si="21"/>
        <v>c.1</v>
      </c>
      <c r="AF76" t="str">
        <f t="shared" si="25"/>
        <v>1.可借圖書</v>
      </c>
      <c r="AG76" t="str">
        <f t="shared" si="26"/>
        <v>在架</v>
      </c>
      <c r="AI76" t="s">
        <v>65</v>
      </c>
      <c r="AK76" t="str">
        <f t="shared" ref="AK76:AK139" si="34">("一般(Normal)")</f>
        <v>一般(Normal)</v>
      </c>
      <c r="AO76" t="s">
        <v>65</v>
      </c>
      <c r="AS76" t="str">
        <f>("2001. ")</f>
        <v xml:space="preserve">2001. </v>
      </c>
      <c r="AT76" t="str">
        <f t="shared" ref="AT76:AT139" si="35">("catc")</f>
        <v>catc</v>
      </c>
    </row>
    <row r="77" spans="1:46" x14ac:dyDescent="0.25">
      <c r="A77">
        <v>66</v>
      </c>
      <c r="B77" t="str">
        <f>("288615")</f>
        <v>288615</v>
      </c>
      <c r="C77" t="str">
        <f>("W00002102")</f>
        <v>W00002102</v>
      </c>
      <c r="D77" t="str">
        <f>("Set for life : a retirement planning guide for people over 50 / ")</f>
        <v xml:space="preserve">Set for life : a retirement planning guide for people over 50 / </v>
      </c>
      <c r="E77" t="str">
        <f>("Holzer, Bambi. ")</f>
        <v xml:space="preserve">Holzer, Bambi. </v>
      </c>
      <c r="F77" t="str">
        <f>("John Wiley, ")</f>
        <v xml:space="preserve">John Wiley, </v>
      </c>
      <c r="H77" t="str">
        <f t="shared" si="12"/>
        <v>圖書 book</v>
      </c>
      <c r="I77" t="str">
        <f>("HG179 H762 2000")</f>
        <v>HG179 H762 2000</v>
      </c>
      <c r="J77" t="str">
        <f>("0471321141")</f>
        <v>0471321141</v>
      </c>
      <c r="K77" t="str">
        <f>("680")</f>
        <v>680</v>
      </c>
      <c r="L77" t="str">
        <f t="shared" si="31"/>
        <v>2001/10/10 00:00:00</v>
      </c>
      <c r="M77" t="str">
        <f>("2018/08/11 13:33:16")</f>
        <v>2018/08/11 13:33:16</v>
      </c>
      <c r="N77" t="str">
        <f>("2000")</f>
        <v>2000</v>
      </c>
      <c r="O77" t="str">
        <f t="shared" si="23"/>
        <v>4F西文書庫 4F Western Language Books</v>
      </c>
      <c r="P77" t="s">
        <v>64</v>
      </c>
      <c r="S77" t="str">
        <f>("xv, 240 p. ; ")</f>
        <v xml:space="preserve">xv, 240 p. ; </v>
      </c>
      <c r="U77" t="str">
        <f>("24 cm. ")</f>
        <v xml:space="preserve">24 cm. </v>
      </c>
      <c r="W77" t="str">
        <f t="shared" si="32"/>
        <v>美國國會圖書分類法</v>
      </c>
      <c r="Y77" t="str">
        <f>("HG179")</f>
        <v>HG179</v>
      </c>
      <c r="Z77" t="str">
        <f>("2018/08/11 13:33:16")</f>
        <v>2018/08/11 13:33:16</v>
      </c>
      <c r="AA77" t="str">
        <f t="shared" si="33"/>
        <v>catc</v>
      </c>
      <c r="AC77" t="str">
        <f>("H762")</f>
        <v>H762</v>
      </c>
      <c r="AE77" t="str">
        <f t="shared" si="21"/>
        <v>c.1</v>
      </c>
      <c r="AF77" t="str">
        <f t="shared" si="25"/>
        <v>1.可借圖書</v>
      </c>
      <c r="AG77" t="str">
        <f t="shared" si="26"/>
        <v>在架</v>
      </c>
      <c r="AI77" t="s">
        <v>65</v>
      </c>
      <c r="AK77" t="str">
        <f t="shared" si="34"/>
        <v>一般(Normal)</v>
      </c>
      <c r="AO77" t="s">
        <v>65</v>
      </c>
      <c r="AS77" t="str">
        <f>("2000. ")</f>
        <v xml:space="preserve">2000. </v>
      </c>
      <c r="AT77" t="str">
        <f t="shared" si="35"/>
        <v>catc</v>
      </c>
    </row>
    <row r="78" spans="1:46" x14ac:dyDescent="0.25">
      <c r="A78">
        <v>67</v>
      </c>
      <c r="B78" t="str">
        <f>("288989")</f>
        <v>288989</v>
      </c>
      <c r="C78" t="str">
        <f>("W00002103")</f>
        <v>W00002103</v>
      </c>
      <c r="D78" t="str">
        <f>("Peter Drucker :shaping the managerial mind /")</f>
        <v>Peter Drucker :shaping the managerial mind /</v>
      </c>
      <c r="E78" t="str">
        <f>("Flaherty, John E.")</f>
        <v>Flaherty, John E.</v>
      </c>
      <c r="F78" t="str">
        <f>("Jossey-Bass ,")</f>
        <v>Jossey-Bass ,</v>
      </c>
      <c r="G78" t="str">
        <f>("1st ed.")</f>
        <v>1st ed.</v>
      </c>
      <c r="H78" t="str">
        <f t="shared" si="12"/>
        <v>圖書 book</v>
      </c>
      <c r="I78" t="str">
        <f>("HD31 F575 1999")</f>
        <v>HD31 F575 1999</v>
      </c>
      <c r="J78" t="str">
        <f>("0787947644")</f>
        <v>0787947644</v>
      </c>
      <c r="K78" t="str">
        <f>("776")</f>
        <v>776</v>
      </c>
      <c r="L78" t="str">
        <f t="shared" si="31"/>
        <v>2001/10/10 00:00:00</v>
      </c>
      <c r="M78" t="str">
        <f>("2018/08/11 13:33:52")</f>
        <v>2018/08/11 13:33:52</v>
      </c>
      <c r="N78" t="str">
        <f>("1999")</f>
        <v>1999</v>
      </c>
      <c r="O78" t="str">
        <f t="shared" si="23"/>
        <v>4F西文書庫 4F Western Language Books</v>
      </c>
      <c r="P78" t="s">
        <v>64</v>
      </c>
      <c r="W78" t="str">
        <f t="shared" si="32"/>
        <v>美國國會圖書分類法</v>
      </c>
      <c r="Y78" t="str">
        <f>("HD31")</f>
        <v>HD31</v>
      </c>
      <c r="Z78" t="str">
        <f>("2018/08/11 13:33:52")</f>
        <v>2018/08/11 13:33:52</v>
      </c>
      <c r="AA78" t="str">
        <f t="shared" si="33"/>
        <v>catc</v>
      </c>
      <c r="AC78" t="str">
        <f>("F575")</f>
        <v>F575</v>
      </c>
      <c r="AE78" t="str">
        <f t="shared" si="21"/>
        <v>c.1</v>
      </c>
      <c r="AF78" t="str">
        <f t="shared" si="25"/>
        <v>1.可借圖書</v>
      </c>
      <c r="AG78" t="str">
        <f t="shared" si="26"/>
        <v>在架</v>
      </c>
      <c r="AI78" t="s">
        <v>65</v>
      </c>
      <c r="AK78" t="str">
        <f t="shared" si="34"/>
        <v>一般(Normal)</v>
      </c>
      <c r="AO78" t="s">
        <v>65</v>
      </c>
      <c r="AS78" t="str">
        <f>("c1999.")</f>
        <v>c1999.</v>
      </c>
      <c r="AT78" t="str">
        <f t="shared" si="35"/>
        <v>catc</v>
      </c>
    </row>
    <row r="79" spans="1:46" x14ac:dyDescent="0.25">
      <c r="A79">
        <v>68</v>
      </c>
      <c r="B79" t="str">
        <f>("288475")</f>
        <v>288475</v>
      </c>
      <c r="C79" t="str">
        <f>("W00002104")</f>
        <v>W00002104</v>
      </c>
      <c r="D79" t="str">
        <f>("Strategic management of e-business / ")</f>
        <v xml:space="preserve">Strategic management of e-business / </v>
      </c>
      <c r="E79" t="str">
        <f>("Chen, Stephen. ")</f>
        <v xml:space="preserve">Chen, Stephen. </v>
      </c>
      <c r="F79" t="str">
        <f>("Wiley, ")</f>
        <v xml:space="preserve">Wiley, </v>
      </c>
      <c r="H79" t="str">
        <f t="shared" si="12"/>
        <v>圖書 book</v>
      </c>
      <c r="I79" t="str">
        <f>("HF5548.32 C518 2001 c.2")</f>
        <v>HF5548.32 C518 2001 c.2</v>
      </c>
      <c r="J79" t="str">
        <f>("0471496332")</f>
        <v>0471496332</v>
      </c>
      <c r="K79" t="str">
        <f>("1216")</f>
        <v>1216</v>
      </c>
      <c r="L79" t="str">
        <f t="shared" si="31"/>
        <v>2001/10/10 00:00:00</v>
      </c>
      <c r="M79" t="str">
        <f>("2018/08/11 13:33:01")</f>
        <v>2018/08/11 13:33:01</v>
      </c>
      <c r="N79" t="str">
        <f>("2001")</f>
        <v>2001</v>
      </c>
      <c r="O79" t="str">
        <f t="shared" si="23"/>
        <v>4F西文書庫 4F Western Language Books</v>
      </c>
      <c r="P79" t="s">
        <v>64</v>
      </c>
      <c r="W79" t="str">
        <f t="shared" si="32"/>
        <v>美國國會圖書分類法</v>
      </c>
      <c r="Y79" t="str">
        <f>("HF5548.32")</f>
        <v>HF5548.32</v>
      </c>
      <c r="Z79" t="str">
        <f>("2018/08/11 13:33:01")</f>
        <v>2018/08/11 13:33:01</v>
      </c>
      <c r="AA79" t="str">
        <f t="shared" si="33"/>
        <v>catc</v>
      </c>
      <c r="AC79" t="str">
        <f>("C518")</f>
        <v>C518</v>
      </c>
      <c r="AE79" t="str">
        <f>("c.2")</f>
        <v>c.2</v>
      </c>
      <c r="AF79" t="str">
        <f t="shared" si="25"/>
        <v>1.可借圖書</v>
      </c>
      <c r="AG79" t="str">
        <f t="shared" si="26"/>
        <v>在架</v>
      </c>
      <c r="AI79" t="s">
        <v>65</v>
      </c>
      <c r="AK79" t="str">
        <f t="shared" si="34"/>
        <v>一般(Normal)</v>
      </c>
      <c r="AO79" t="s">
        <v>65</v>
      </c>
      <c r="AS79" t="str">
        <f>("2001. ")</f>
        <v xml:space="preserve">2001. </v>
      </c>
      <c r="AT79" t="str">
        <f t="shared" si="35"/>
        <v>catc</v>
      </c>
    </row>
    <row r="80" spans="1:46" x14ac:dyDescent="0.25">
      <c r="A80">
        <v>69</v>
      </c>
      <c r="B80" t="str">
        <f>("288990")</f>
        <v>288990</v>
      </c>
      <c r="C80" t="str">
        <f>("W00002105")</f>
        <v>W00002105</v>
      </c>
      <c r="D80" t="str">
        <f>("Sales and operations for your small business / ")</f>
        <v xml:space="preserve">Sales and operations for your small business / </v>
      </c>
      <c r="E80" t="str">
        <f>("Burton, E. James. ")</f>
        <v xml:space="preserve">Burton, E. James. </v>
      </c>
      <c r="F80" t="str">
        <f>("Wiley, ")</f>
        <v xml:space="preserve">Wiley, </v>
      </c>
      <c r="H80" t="str">
        <f t="shared" si="12"/>
        <v>圖書 book</v>
      </c>
      <c r="I80" t="str">
        <f>("HF5438.4 B974 2001")</f>
        <v>HF5438.4 B974 2001</v>
      </c>
      <c r="J80" t="str">
        <f>("0471397040")</f>
        <v>0471397040</v>
      </c>
      <c r="K80" t="str">
        <f>("720")</f>
        <v>720</v>
      </c>
      <c r="L80" t="str">
        <f t="shared" si="31"/>
        <v>2001/10/10 00:00:00</v>
      </c>
      <c r="M80" t="str">
        <f>("2018/08/11 13:33:52")</f>
        <v>2018/08/11 13:33:52</v>
      </c>
      <c r="N80" t="str">
        <f>("2001")</f>
        <v>2001</v>
      </c>
      <c r="O80" t="str">
        <f t="shared" si="23"/>
        <v>4F西文書庫 4F Western Language Books</v>
      </c>
      <c r="P80" t="s">
        <v>64</v>
      </c>
      <c r="W80" t="str">
        <f t="shared" si="32"/>
        <v>美國國會圖書分類法</v>
      </c>
      <c r="Y80" t="str">
        <f>("HF5438.4")</f>
        <v>HF5438.4</v>
      </c>
      <c r="Z80" t="str">
        <f>("2018/08/11 13:33:52")</f>
        <v>2018/08/11 13:33:52</v>
      </c>
      <c r="AA80" t="str">
        <f t="shared" si="33"/>
        <v>catc</v>
      </c>
      <c r="AC80" t="str">
        <f>("B974")</f>
        <v>B974</v>
      </c>
      <c r="AE80" t="str">
        <f>("c.1")</f>
        <v>c.1</v>
      </c>
      <c r="AF80" t="str">
        <f t="shared" si="25"/>
        <v>1.可借圖書</v>
      </c>
      <c r="AG80" t="str">
        <f t="shared" si="26"/>
        <v>在架</v>
      </c>
      <c r="AI80" t="s">
        <v>65</v>
      </c>
      <c r="AK80" t="str">
        <f t="shared" si="34"/>
        <v>一般(Normal)</v>
      </c>
      <c r="AO80" t="s">
        <v>65</v>
      </c>
      <c r="AS80" t="str">
        <f>("c2001. ")</f>
        <v xml:space="preserve">c2001. </v>
      </c>
      <c r="AT80" t="str">
        <f t="shared" si="35"/>
        <v>catc</v>
      </c>
    </row>
    <row r="81" spans="1:46" x14ac:dyDescent="0.25">
      <c r="A81">
        <v>70</v>
      </c>
      <c r="B81" t="str">
        <f>("288047")</f>
        <v>288047</v>
      </c>
      <c r="C81" t="str">
        <f>("W00002106")</f>
        <v>W00002106</v>
      </c>
      <c r="D81" t="str">
        <f>("Patterns in the dark : understanding risk and financial crisis with complexity theory / ")</f>
        <v xml:space="preserve">Patterns in the dark : understanding risk and financial crisis with complexity theory / </v>
      </c>
      <c r="E81" t="str">
        <f>("Peters, Edgar E.,  1952- ")</f>
        <v xml:space="preserve">Peters, Edgar E.,  1952- </v>
      </c>
      <c r="F81" t="str">
        <f>("Wiley, ")</f>
        <v xml:space="preserve">Wiley, </v>
      </c>
      <c r="H81" t="str">
        <f t="shared" si="12"/>
        <v>圖書 book</v>
      </c>
      <c r="I81" t="str">
        <f>("HB95 P481 1999 c.3")</f>
        <v>HB95 P481 1999 c.3</v>
      </c>
      <c r="J81" t="str">
        <f>("047123947X;0471399817")</f>
        <v>047123947X;0471399817</v>
      </c>
      <c r="K81" t="str">
        <f>("604")</f>
        <v>604</v>
      </c>
      <c r="L81" t="str">
        <f t="shared" si="31"/>
        <v>2001/10/10 00:00:00</v>
      </c>
      <c r="M81" t="str">
        <f>("2018/08/11 13:32:19")</f>
        <v>2018/08/11 13:32:19</v>
      </c>
      <c r="N81" t="str">
        <f>("1999")</f>
        <v>1999</v>
      </c>
      <c r="O81" t="str">
        <f t="shared" si="23"/>
        <v>4F西文書庫 4F Western Language Books</v>
      </c>
      <c r="P81" t="s">
        <v>64</v>
      </c>
      <c r="S81" t="str">
        <f>("xvi, 222 p. : ")</f>
        <v xml:space="preserve">xvi, 222 p. : </v>
      </c>
      <c r="T81" t="str">
        <f>("ill. ; ")</f>
        <v xml:space="preserve">ill. ; </v>
      </c>
      <c r="U81" t="str">
        <f>("24 cm. ")</f>
        <v xml:space="preserve">24 cm. </v>
      </c>
      <c r="W81" t="str">
        <f t="shared" si="32"/>
        <v>美國國會圖書分類法</v>
      </c>
      <c r="Y81" t="str">
        <f>("HB95")</f>
        <v>HB95</v>
      </c>
      <c r="Z81" t="str">
        <f>("2018/08/11 13:32:19")</f>
        <v>2018/08/11 13:32:19</v>
      </c>
      <c r="AA81" t="str">
        <f t="shared" si="33"/>
        <v>catc</v>
      </c>
      <c r="AC81" t="str">
        <f>("P481")</f>
        <v>P481</v>
      </c>
      <c r="AE81" t="str">
        <f>("c.3")</f>
        <v>c.3</v>
      </c>
      <c r="AF81" t="str">
        <f t="shared" si="25"/>
        <v>1.可借圖書</v>
      </c>
      <c r="AG81" t="str">
        <f t="shared" si="26"/>
        <v>在架</v>
      </c>
      <c r="AI81" t="s">
        <v>65</v>
      </c>
      <c r="AK81" t="str">
        <f t="shared" si="34"/>
        <v>一般(Normal)</v>
      </c>
      <c r="AO81" t="s">
        <v>65</v>
      </c>
      <c r="AS81" t="str">
        <f>("c1999. ")</f>
        <v xml:space="preserve">c1999. </v>
      </c>
      <c r="AT81" t="str">
        <f t="shared" si="35"/>
        <v>catc</v>
      </c>
    </row>
    <row r="82" spans="1:46" x14ac:dyDescent="0.25">
      <c r="A82">
        <v>71</v>
      </c>
      <c r="B82" t="str">
        <f>("287523")</f>
        <v>287523</v>
      </c>
      <c r="C82" t="str">
        <f>("W00002107")</f>
        <v>W00002107</v>
      </c>
      <c r="D82" t="str">
        <f>("Corporate memory : strategies for knowledge management / ")</f>
        <v xml:space="preserve">Corporate memory : strategies for knowledge management / </v>
      </c>
      <c r="E82" t="str">
        <f>("Brooking, Annie. ")</f>
        <v xml:space="preserve">Brooking, Annie. </v>
      </c>
      <c r="F82" t="str">
        <f>("International Thomson Business Press, ")</f>
        <v xml:space="preserve">International Thomson Business Press, </v>
      </c>
      <c r="H82" t="str">
        <f t="shared" si="12"/>
        <v>圖書 book</v>
      </c>
      <c r="I82" t="str">
        <f>("HD30.2 B871 1999")</f>
        <v>HD30.2 B871 1999</v>
      </c>
      <c r="J82" t="str">
        <f>("1861522681")</f>
        <v>1861522681</v>
      </c>
      <c r="K82" t="str">
        <f>("1152")</f>
        <v>1152</v>
      </c>
      <c r="L82" t="str">
        <f t="shared" si="31"/>
        <v>2001/10/10 00:00:00</v>
      </c>
      <c r="M82" t="str">
        <f>("2018/08/11 13:31:24")</f>
        <v>2018/08/11 13:31:24</v>
      </c>
      <c r="N82" t="str">
        <f>("1999")</f>
        <v>1999</v>
      </c>
      <c r="O82" t="str">
        <f t="shared" si="23"/>
        <v>4F西文書庫 4F Western Language Books</v>
      </c>
      <c r="P82" t="s">
        <v>64</v>
      </c>
      <c r="W82" t="str">
        <f t="shared" si="32"/>
        <v>美國國會圖書分類法</v>
      </c>
      <c r="Y82" t="str">
        <f>("HD30.2")</f>
        <v>HD30.2</v>
      </c>
      <c r="Z82" t="str">
        <f>("2018/08/11 13:31:24")</f>
        <v>2018/08/11 13:31:24</v>
      </c>
      <c r="AA82" t="str">
        <f t="shared" si="33"/>
        <v>catc</v>
      </c>
      <c r="AC82" t="str">
        <f>("B871")</f>
        <v>B871</v>
      </c>
      <c r="AE82" t="str">
        <f t="shared" ref="AE82:AE113" si="36">("c.1")</f>
        <v>c.1</v>
      </c>
      <c r="AF82" t="str">
        <f t="shared" si="25"/>
        <v>1.可借圖書</v>
      </c>
      <c r="AG82" t="str">
        <f t="shared" si="26"/>
        <v>在架</v>
      </c>
      <c r="AI82" t="s">
        <v>65</v>
      </c>
      <c r="AK82" t="str">
        <f t="shared" si="34"/>
        <v>一般(Normal)</v>
      </c>
      <c r="AO82" t="s">
        <v>65</v>
      </c>
      <c r="AS82" t="str">
        <f>("1999. ")</f>
        <v xml:space="preserve">1999. </v>
      </c>
      <c r="AT82" t="str">
        <f t="shared" si="35"/>
        <v>catc</v>
      </c>
    </row>
    <row r="83" spans="1:46" x14ac:dyDescent="0.25">
      <c r="A83">
        <v>72</v>
      </c>
      <c r="B83" t="str">
        <f>("288991")</f>
        <v>288991</v>
      </c>
      <c r="C83" t="str">
        <f>("W00002108")</f>
        <v>W00002108</v>
      </c>
      <c r="D83" t="str">
        <f>("China's century : the awakening of the next economic powerhouse / ")</f>
        <v xml:space="preserve">China's century : the awakening of the next economic powerhouse / </v>
      </c>
      <c r="E83" t="str">
        <f>("Brahm, Laurence J.")</f>
        <v>Brahm, Laurence J.</v>
      </c>
      <c r="F83" t="str">
        <f>("Wiley, ")</f>
        <v xml:space="preserve">Wiley, </v>
      </c>
      <c r="H83" t="str">
        <f t="shared" si="12"/>
        <v>圖書 book</v>
      </c>
      <c r="I83" t="str">
        <f>("DS706 B813 2001")</f>
        <v>DS706 B813 2001</v>
      </c>
      <c r="J83" t="str">
        <f>("0471479012")</f>
        <v>0471479012</v>
      </c>
      <c r="K83" t="str">
        <f>("760")</f>
        <v>760</v>
      </c>
      <c r="L83" t="str">
        <f t="shared" si="31"/>
        <v>2001/10/10 00:00:00</v>
      </c>
      <c r="M83" t="str">
        <f>("2018/08/11 13:33:52")</f>
        <v>2018/08/11 13:33:52</v>
      </c>
      <c r="N83" t="str">
        <f>("2001")</f>
        <v>2001</v>
      </c>
      <c r="O83" t="str">
        <f t="shared" si="23"/>
        <v>4F西文書庫 4F Western Language Books</v>
      </c>
      <c r="P83" t="s">
        <v>64</v>
      </c>
      <c r="W83" t="str">
        <f t="shared" si="32"/>
        <v>美國國會圖書分類法</v>
      </c>
      <c r="Y83" t="str">
        <f>("DS706")</f>
        <v>DS706</v>
      </c>
      <c r="Z83" t="str">
        <f>("2018/08/11 13:33:52")</f>
        <v>2018/08/11 13:33:52</v>
      </c>
      <c r="AA83" t="str">
        <f t="shared" si="33"/>
        <v>catc</v>
      </c>
      <c r="AC83" t="str">
        <f>("B813")</f>
        <v>B813</v>
      </c>
      <c r="AE83" t="str">
        <f t="shared" si="36"/>
        <v>c.1</v>
      </c>
      <c r="AF83" t="str">
        <f t="shared" si="25"/>
        <v>1.可借圖書</v>
      </c>
      <c r="AG83" t="str">
        <f t="shared" si="26"/>
        <v>在架</v>
      </c>
      <c r="AI83" t="s">
        <v>65</v>
      </c>
      <c r="AK83" t="str">
        <f t="shared" si="34"/>
        <v>一般(Normal)</v>
      </c>
      <c r="AO83" t="s">
        <v>65</v>
      </c>
      <c r="AS83" t="str">
        <f>("2001. ")</f>
        <v xml:space="preserve">2001. </v>
      </c>
      <c r="AT83" t="str">
        <f t="shared" si="35"/>
        <v>catc</v>
      </c>
    </row>
    <row r="84" spans="1:46" x14ac:dyDescent="0.25">
      <c r="A84">
        <v>73</v>
      </c>
      <c r="B84" t="str">
        <f>("288992")</f>
        <v>288992</v>
      </c>
      <c r="C84" t="str">
        <f>("W00002109")</f>
        <v>W00002109</v>
      </c>
      <c r="D84" t="str">
        <f>("Basic concepts in psychiatric-mental health nursing /")</f>
        <v>Basic concepts in psychiatric-mental health nursing /</v>
      </c>
      <c r="E84" t="str">
        <f>("Shives, Louise Rebraca.")</f>
        <v>Shives, Louise Rebraca.</v>
      </c>
      <c r="F84" t="str">
        <f>("Lippincott,")</f>
        <v>Lippincott,</v>
      </c>
      <c r="G84" t="str">
        <f>("4th ed.")</f>
        <v>4th ed.</v>
      </c>
      <c r="H84" t="str">
        <f t="shared" si="12"/>
        <v>圖書 book</v>
      </c>
      <c r="I84" t="str">
        <f>("RC440 S555 1998")</f>
        <v>RC440 S555 1998</v>
      </c>
      <c r="J84" t="str">
        <f>("0397554575")</f>
        <v>0397554575</v>
      </c>
      <c r="K84" t="str">
        <f>("840")</f>
        <v>840</v>
      </c>
      <c r="L84" t="str">
        <f t="shared" si="31"/>
        <v>2001/10/10 00:00:00</v>
      </c>
      <c r="M84" t="str">
        <f>("2018/08/11 13:33:52")</f>
        <v>2018/08/11 13:33:52</v>
      </c>
      <c r="N84" t="str">
        <f>("1998")</f>
        <v>1998</v>
      </c>
      <c r="O84" t="str">
        <f t="shared" si="23"/>
        <v>4F西文書庫 4F Western Language Books</v>
      </c>
      <c r="P84" t="s">
        <v>64</v>
      </c>
      <c r="W84" t="str">
        <f t="shared" si="32"/>
        <v>美國國會圖書分類法</v>
      </c>
      <c r="Y84" t="str">
        <f>("RC440")</f>
        <v>RC440</v>
      </c>
      <c r="Z84" t="str">
        <f>("2018/08/11 13:33:52")</f>
        <v>2018/08/11 13:33:52</v>
      </c>
      <c r="AA84" t="str">
        <f t="shared" si="33"/>
        <v>catc</v>
      </c>
      <c r="AC84" t="str">
        <f>("S555")</f>
        <v>S555</v>
      </c>
      <c r="AE84" t="str">
        <f t="shared" si="36"/>
        <v>c.1</v>
      </c>
      <c r="AF84" t="str">
        <f t="shared" si="25"/>
        <v>1.可借圖書</v>
      </c>
      <c r="AG84" t="str">
        <f t="shared" si="26"/>
        <v>在架</v>
      </c>
      <c r="AI84" t="s">
        <v>65</v>
      </c>
      <c r="AK84" t="str">
        <f t="shared" si="34"/>
        <v>一般(Normal)</v>
      </c>
      <c r="AO84" t="s">
        <v>65</v>
      </c>
      <c r="AS84" t="str">
        <f>("c1998.")</f>
        <v>c1998.</v>
      </c>
      <c r="AT84" t="str">
        <f t="shared" si="35"/>
        <v>catc</v>
      </c>
    </row>
    <row r="85" spans="1:46" x14ac:dyDescent="0.25">
      <c r="A85">
        <v>74</v>
      </c>
      <c r="B85" t="str">
        <f>("288993")</f>
        <v>288993</v>
      </c>
      <c r="C85" t="str">
        <f>("W00002110")</f>
        <v>W00002110</v>
      </c>
      <c r="D85" t="str">
        <f>("Entrepreneurial marketing : lessons from wharton's pioneering MBA course / ")</f>
        <v xml:space="preserve">Entrepreneurial marketing : lessons from wharton's pioneering MBA course / </v>
      </c>
      <c r="E85" t="str">
        <f>("Lodish, Leonard M. ")</f>
        <v xml:space="preserve">Lodish, Leonard M. </v>
      </c>
      <c r="F85" t="str">
        <f>(" Wiley, ")</f>
        <v xml:space="preserve"> Wiley, </v>
      </c>
      <c r="H85" t="str">
        <f t="shared" ref="H85:H148" si="37">("圖書 book")</f>
        <v>圖書 book</v>
      </c>
      <c r="I85" t="str">
        <f>("HD62.5 L823 2001")</f>
        <v>HD62.5 L823 2001</v>
      </c>
      <c r="J85" t="str">
        <f>("0471382442")</f>
        <v>0471382442</v>
      </c>
      <c r="K85" t="str">
        <f>("880")</f>
        <v>880</v>
      </c>
      <c r="L85" t="str">
        <f t="shared" si="31"/>
        <v>2001/10/10 00:00:00</v>
      </c>
      <c r="M85" t="str">
        <f t="shared" ref="M85:M96" si="38">("2018/08/11 13:33:53")</f>
        <v>2018/08/11 13:33:53</v>
      </c>
      <c r="N85" t="str">
        <f>("2001")</f>
        <v>2001</v>
      </c>
      <c r="O85" t="str">
        <f t="shared" ref="O85:O116" si="39">("4F西文書庫 4F Western Language Books")</f>
        <v>4F西文書庫 4F Western Language Books</v>
      </c>
      <c r="P85" t="s">
        <v>64</v>
      </c>
      <c r="W85" t="str">
        <f t="shared" si="32"/>
        <v>美國國會圖書分類法</v>
      </c>
      <c r="Y85" t="str">
        <f>("HD62.5")</f>
        <v>HD62.5</v>
      </c>
      <c r="Z85" t="str">
        <f>("2018/08/11 13:33:52")</f>
        <v>2018/08/11 13:33:52</v>
      </c>
      <c r="AA85" t="str">
        <f t="shared" si="33"/>
        <v>catc</v>
      </c>
      <c r="AC85" t="str">
        <f>("L823")</f>
        <v>L823</v>
      </c>
      <c r="AE85" t="str">
        <f t="shared" si="36"/>
        <v>c.1</v>
      </c>
      <c r="AF85" t="str">
        <f t="shared" ref="AF85:AF116" si="40">("1.可借圖書")</f>
        <v>1.可借圖書</v>
      </c>
      <c r="AG85" t="str">
        <f t="shared" ref="AG85:AG116" si="41">("在架")</f>
        <v>在架</v>
      </c>
      <c r="AI85" t="s">
        <v>65</v>
      </c>
      <c r="AK85" t="str">
        <f t="shared" si="34"/>
        <v>一般(Normal)</v>
      </c>
      <c r="AO85" t="s">
        <v>65</v>
      </c>
      <c r="AS85" t="str">
        <f>("c2001. ")</f>
        <v xml:space="preserve">c2001. </v>
      </c>
      <c r="AT85" t="str">
        <f t="shared" si="35"/>
        <v>catc</v>
      </c>
    </row>
    <row r="86" spans="1:46" x14ac:dyDescent="0.25">
      <c r="A86">
        <v>75</v>
      </c>
      <c r="B86" t="str">
        <f>("288994")</f>
        <v>288994</v>
      </c>
      <c r="C86" t="str">
        <f>("W00002111")</f>
        <v>W00002111</v>
      </c>
      <c r="D86" t="str">
        <f>("Learning from world class companies/ ")</f>
        <v xml:space="preserve">Learning from world class companies/ </v>
      </c>
      <c r="E86" t="str">
        <f>("Tung, Rosalie L.")</f>
        <v>Tung, Rosalie L.</v>
      </c>
      <c r="F86" t="str">
        <f>("Thomson learing, ")</f>
        <v xml:space="preserve">Thomson learing, </v>
      </c>
      <c r="G86" t="str">
        <f>("1st ed.")</f>
        <v>1st ed.</v>
      </c>
      <c r="H86" t="str">
        <f t="shared" si="37"/>
        <v>圖書 book</v>
      </c>
      <c r="I86" t="str">
        <f>("BF318 T926 2001")</f>
        <v>BF318 T926 2001</v>
      </c>
      <c r="J86" t="str">
        <f>("1861526091")</f>
        <v>1861526091</v>
      </c>
      <c r="K86" t="str">
        <f>("948")</f>
        <v>948</v>
      </c>
      <c r="L86" t="str">
        <f t="shared" si="31"/>
        <v>2001/10/10 00:00:00</v>
      </c>
      <c r="M86" t="str">
        <f t="shared" si="38"/>
        <v>2018/08/11 13:33:53</v>
      </c>
      <c r="N86" t="str">
        <f>("2001")</f>
        <v>2001</v>
      </c>
      <c r="O86" t="str">
        <f t="shared" si="39"/>
        <v>4F西文書庫 4F Western Language Books</v>
      </c>
      <c r="P86" t="s">
        <v>64</v>
      </c>
      <c r="W86" t="str">
        <f t="shared" si="32"/>
        <v>美國國會圖書分類法</v>
      </c>
      <c r="Y86" t="str">
        <f>("BF318")</f>
        <v>BF318</v>
      </c>
      <c r="Z86" t="str">
        <f t="shared" ref="Z86:Z97" si="42">("2018/08/11 13:33:53")</f>
        <v>2018/08/11 13:33:53</v>
      </c>
      <c r="AA86" t="str">
        <f t="shared" si="33"/>
        <v>catc</v>
      </c>
      <c r="AC86" t="str">
        <f>("T926")</f>
        <v>T926</v>
      </c>
      <c r="AE86" t="str">
        <f t="shared" si="36"/>
        <v>c.1</v>
      </c>
      <c r="AF86" t="str">
        <f t="shared" si="40"/>
        <v>1.可借圖書</v>
      </c>
      <c r="AG86" t="str">
        <f t="shared" si="41"/>
        <v>在架</v>
      </c>
      <c r="AI86" t="s">
        <v>65</v>
      </c>
      <c r="AK86" t="str">
        <f t="shared" si="34"/>
        <v>一般(Normal)</v>
      </c>
      <c r="AO86" t="s">
        <v>65</v>
      </c>
      <c r="AS86" t="str">
        <f>("2001.")</f>
        <v>2001.</v>
      </c>
      <c r="AT86" t="str">
        <f t="shared" si="35"/>
        <v>catc</v>
      </c>
    </row>
    <row r="87" spans="1:46" x14ac:dyDescent="0.25">
      <c r="A87">
        <v>76</v>
      </c>
      <c r="B87" t="str">
        <f>("288995")</f>
        <v>288995</v>
      </c>
      <c r="C87" t="str">
        <f>("W00002112")</f>
        <v>W00002112</v>
      </c>
      <c r="D87" t="str">
        <f>("Accounting and finance for your small business / ")</f>
        <v xml:space="preserve">Accounting and finance for your small business / </v>
      </c>
      <c r="E87" t="str">
        <f>("Burton, E. James. ")</f>
        <v xml:space="preserve">Burton, E. James. </v>
      </c>
      <c r="F87" t="str">
        <f>("Wiley, ")</f>
        <v xml:space="preserve">Wiley, </v>
      </c>
      <c r="G87" t="str">
        <f>("2nd ed. ")</f>
        <v xml:space="preserve">2nd ed. </v>
      </c>
      <c r="H87" t="str">
        <f t="shared" si="37"/>
        <v>圖書 book</v>
      </c>
      <c r="I87" t="str">
        <f>("HD31 B974 2001")</f>
        <v>HD31 B974 2001</v>
      </c>
      <c r="J87" t="str">
        <f>("0471323608")</f>
        <v>0471323608</v>
      </c>
      <c r="K87" t="str">
        <f>("760")</f>
        <v>760</v>
      </c>
      <c r="L87" t="str">
        <f t="shared" si="31"/>
        <v>2001/10/10 00:00:00</v>
      </c>
      <c r="M87" t="str">
        <f t="shared" si="38"/>
        <v>2018/08/11 13:33:53</v>
      </c>
      <c r="N87" t="str">
        <f>("2001")</f>
        <v>2001</v>
      </c>
      <c r="O87" t="str">
        <f t="shared" si="39"/>
        <v>4F西文書庫 4F Western Language Books</v>
      </c>
      <c r="P87" t="s">
        <v>64</v>
      </c>
      <c r="W87" t="str">
        <f t="shared" si="32"/>
        <v>美國國會圖書分類法</v>
      </c>
      <c r="Y87" t="str">
        <f>("HD31")</f>
        <v>HD31</v>
      </c>
      <c r="Z87" t="str">
        <f t="shared" si="42"/>
        <v>2018/08/11 13:33:53</v>
      </c>
      <c r="AA87" t="str">
        <f t="shared" si="33"/>
        <v>catc</v>
      </c>
      <c r="AC87" t="str">
        <f>("B974")</f>
        <v>B974</v>
      </c>
      <c r="AE87" t="str">
        <f t="shared" si="36"/>
        <v>c.1</v>
      </c>
      <c r="AF87" t="str">
        <f t="shared" si="40"/>
        <v>1.可借圖書</v>
      </c>
      <c r="AG87" t="str">
        <f t="shared" si="41"/>
        <v>在架</v>
      </c>
      <c r="AI87" t="s">
        <v>65</v>
      </c>
      <c r="AK87" t="str">
        <f t="shared" si="34"/>
        <v>一般(Normal)</v>
      </c>
      <c r="AO87" t="s">
        <v>65</v>
      </c>
      <c r="AS87" t="str">
        <f>("c2001. ")</f>
        <v xml:space="preserve">c2001. </v>
      </c>
      <c r="AT87" t="str">
        <f t="shared" si="35"/>
        <v>catc</v>
      </c>
    </row>
    <row r="88" spans="1:46" x14ac:dyDescent="0.25">
      <c r="A88">
        <v>77</v>
      </c>
      <c r="B88" t="str">
        <f>("288996")</f>
        <v>288996</v>
      </c>
      <c r="C88" t="str">
        <f>("W00002113")</f>
        <v>W00002113</v>
      </c>
      <c r="D88" t="str">
        <f>("Human neurophysiology :a student text /")</f>
        <v>Human neurophysiology :a student text /</v>
      </c>
      <c r="E88" t="str">
        <f>("Holmes, Oliver.")</f>
        <v>Holmes, Oliver.</v>
      </c>
      <c r="F88" t="str">
        <f>("Chapman &amp; Hall Medical,")</f>
        <v>Chapman &amp; Hall Medical,</v>
      </c>
      <c r="G88" t="str">
        <f>("2nd ed.")</f>
        <v>2nd ed.</v>
      </c>
      <c r="H88" t="str">
        <f t="shared" si="37"/>
        <v>圖書 book</v>
      </c>
      <c r="I88" t="str">
        <f>("QP316 H749 1993")</f>
        <v>QP316 H749 1993</v>
      </c>
      <c r="J88" t="str">
        <f>("0412489201")</f>
        <v>0412489201</v>
      </c>
      <c r="K88" t="str">
        <f>("0")</f>
        <v>0</v>
      </c>
      <c r="L88" t="str">
        <f t="shared" si="31"/>
        <v>2001/10/10 00:00:00</v>
      </c>
      <c r="M88" t="str">
        <f t="shared" si="38"/>
        <v>2018/08/11 13:33:53</v>
      </c>
      <c r="N88" t="str">
        <f>("1993")</f>
        <v>1993</v>
      </c>
      <c r="O88" t="str">
        <f t="shared" si="39"/>
        <v>4F西文書庫 4F Western Language Books</v>
      </c>
      <c r="P88" t="s">
        <v>64</v>
      </c>
      <c r="W88" t="str">
        <f t="shared" si="32"/>
        <v>美國國會圖書分類法</v>
      </c>
      <c r="Y88" t="str">
        <f>("QP316")</f>
        <v>QP316</v>
      </c>
      <c r="Z88" t="str">
        <f t="shared" si="42"/>
        <v>2018/08/11 13:33:53</v>
      </c>
      <c r="AA88" t="str">
        <f t="shared" si="33"/>
        <v>catc</v>
      </c>
      <c r="AC88" t="str">
        <f>("H749")</f>
        <v>H749</v>
      </c>
      <c r="AE88" t="str">
        <f t="shared" si="36"/>
        <v>c.1</v>
      </c>
      <c r="AF88" t="str">
        <f t="shared" si="40"/>
        <v>1.可借圖書</v>
      </c>
      <c r="AG88" t="str">
        <f t="shared" si="41"/>
        <v>在架</v>
      </c>
      <c r="AI88" t="s">
        <v>65</v>
      </c>
      <c r="AK88" t="str">
        <f t="shared" si="34"/>
        <v>一般(Normal)</v>
      </c>
      <c r="AO88" t="s">
        <v>65</v>
      </c>
      <c r="AS88" t="str">
        <f>("1993.")</f>
        <v>1993.</v>
      </c>
      <c r="AT88" t="str">
        <f t="shared" si="35"/>
        <v>catc</v>
      </c>
    </row>
    <row r="89" spans="1:46" x14ac:dyDescent="0.25">
      <c r="A89">
        <v>78</v>
      </c>
      <c r="B89" t="str">
        <f>("288997")</f>
        <v>288997</v>
      </c>
      <c r="C89" t="str">
        <f>("W00002114")</f>
        <v>W00002114</v>
      </c>
      <c r="D89" t="str">
        <f>("Participation and empowerment in organizations :modeling, effectiveness, and applications /")</f>
        <v>Participation and empowerment in organizations :modeling, effectiveness, and applications /</v>
      </c>
      <c r="E89" t="str">
        <f>("Sagie, Abraham. ")</f>
        <v xml:space="preserve">Sagie, Abraham. </v>
      </c>
      <c r="F89" t="str">
        <f>("Sage Publications,")</f>
        <v>Sage Publications,</v>
      </c>
      <c r="H89" t="str">
        <f t="shared" si="37"/>
        <v>圖書 book</v>
      </c>
      <c r="I89" t="str">
        <f>("HD5650 S129 2000")</f>
        <v>HD5650 S129 2000</v>
      </c>
      <c r="J89" t="str">
        <f>("0761907351")</f>
        <v>0761907351</v>
      </c>
      <c r="K89" t="str">
        <f>("880")</f>
        <v>880</v>
      </c>
      <c r="L89" t="str">
        <f t="shared" si="31"/>
        <v>2001/10/10 00:00:00</v>
      </c>
      <c r="M89" t="str">
        <f t="shared" si="38"/>
        <v>2018/08/11 13:33:53</v>
      </c>
      <c r="N89" t="str">
        <f>("2000")</f>
        <v>2000</v>
      </c>
      <c r="O89" t="str">
        <f t="shared" si="39"/>
        <v>4F西文書庫 4F Western Language Books</v>
      </c>
      <c r="P89" t="s">
        <v>64</v>
      </c>
      <c r="W89" t="str">
        <f t="shared" si="32"/>
        <v>美國國會圖書分類法</v>
      </c>
      <c r="Y89" t="str">
        <f>("HD5650")</f>
        <v>HD5650</v>
      </c>
      <c r="Z89" t="str">
        <f t="shared" si="42"/>
        <v>2018/08/11 13:33:53</v>
      </c>
      <c r="AA89" t="str">
        <f t="shared" si="33"/>
        <v>catc</v>
      </c>
      <c r="AC89" t="str">
        <f>("S129")</f>
        <v>S129</v>
      </c>
      <c r="AE89" t="str">
        <f t="shared" si="36"/>
        <v>c.1</v>
      </c>
      <c r="AF89" t="str">
        <f t="shared" si="40"/>
        <v>1.可借圖書</v>
      </c>
      <c r="AG89" t="str">
        <f t="shared" si="41"/>
        <v>在架</v>
      </c>
      <c r="AI89" t="s">
        <v>65</v>
      </c>
      <c r="AK89" t="str">
        <f t="shared" si="34"/>
        <v>一般(Normal)</v>
      </c>
      <c r="AO89" t="s">
        <v>65</v>
      </c>
      <c r="AS89" t="str">
        <f>("c2000. ")</f>
        <v xml:space="preserve">c2000. </v>
      </c>
      <c r="AT89" t="str">
        <f t="shared" si="35"/>
        <v>catc</v>
      </c>
    </row>
    <row r="90" spans="1:46" x14ac:dyDescent="0.25">
      <c r="A90">
        <v>79</v>
      </c>
      <c r="B90" t="str">
        <f>("288998")</f>
        <v>288998</v>
      </c>
      <c r="C90" t="str">
        <f>("W00002115")</f>
        <v>W00002115</v>
      </c>
      <c r="D90" t="str">
        <f>("In good company :how social capital makes organizations work /")</f>
        <v>In good company :how social capital makes organizations work /</v>
      </c>
      <c r="E90" t="str">
        <f>("Cohen, Don,1946- ")</f>
        <v xml:space="preserve">Cohen, Don,1946- </v>
      </c>
      <c r="F90" t="str">
        <f>("Harvard Business School Press, c2001. ")</f>
        <v xml:space="preserve">Harvard Business School Press, c2001. </v>
      </c>
      <c r="H90" t="str">
        <f t="shared" si="37"/>
        <v>圖書 book</v>
      </c>
      <c r="I90" t="str">
        <f>("HD58.7 C678 2001")</f>
        <v>HD58.7 C678 2001</v>
      </c>
      <c r="J90" t="str">
        <f>("087584913X")</f>
        <v>087584913X</v>
      </c>
      <c r="K90" t="str">
        <f>("812")</f>
        <v>812</v>
      </c>
      <c r="L90" t="str">
        <f t="shared" si="31"/>
        <v>2001/10/10 00:00:00</v>
      </c>
      <c r="M90" t="str">
        <f t="shared" si="38"/>
        <v>2018/08/11 13:33:53</v>
      </c>
      <c r="N90" t="str">
        <f>("2001")</f>
        <v>2001</v>
      </c>
      <c r="O90" t="str">
        <f t="shared" si="39"/>
        <v>4F西文書庫 4F Western Language Books</v>
      </c>
      <c r="P90" t="s">
        <v>64</v>
      </c>
      <c r="W90" t="str">
        <f t="shared" si="32"/>
        <v>美國國會圖書分類法</v>
      </c>
      <c r="Y90" t="str">
        <f>("HD58.7")</f>
        <v>HD58.7</v>
      </c>
      <c r="Z90" t="str">
        <f t="shared" si="42"/>
        <v>2018/08/11 13:33:53</v>
      </c>
      <c r="AA90" t="str">
        <f t="shared" si="33"/>
        <v>catc</v>
      </c>
      <c r="AC90" t="str">
        <f>("C678")</f>
        <v>C678</v>
      </c>
      <c r="AE90" t="str">
        <f t="shared" si="36"/>
        <v>c.1</v>
      </c>
      <c r="AF90" t="str">
        <f t="shared" si="40"/>
        <v>1.可借圖書</v>
      </c>
      <c r="AG90" t="str">
        <f t="shared" si="41"/>
        <v>在架</v>
      </c>
      <c r="AI90" t="s">
        <v>65</v>
      </c>
      <c r="AK90" t="str">
        <f t="shared" si="34"/>
        <v>一般(Normal)</v>
      </c>
      <c r="AO90" t="s">
        <v>65</v>
      </c>
      <c r="AT90" t="str">
        <f t="shared" si="35"/>
        <v>catc</v>
      </c>
    </row>
    <row r="91" spans="1:46" x14ac:dyDescent="0.25">
      <c r="A91">
        <v>80</v>
      </c>
      <c r="B91" t="str">
        <f>("288999")</f>
        <v>288999</v>
      </c>
      <c r="C91" t="str">
        <f>("W00002116")</f>
        <v>W00002116</v>
      </c>
      <c r="D91" t="str">
        <f>("Raise the bar :creative strategies to take your business &amp; personal life to the next level /")</f>
        <v>Raise the bar :creative strategies to take your business &amp; personal life to the next level /</v>
      </c>
      <c r="E91" t="str">
        <f>("Vance, Mike ")</f>
        <v xml:space="preserve">Vance, Mike </v>
      </c>
      <c r="F91" t="str">
        <f>("Career Press,")</f>
        <v>Career Press,</v>
      </c>
      <c r="H91" t="str">
        <f t="shared" si="37"/>
        <v>圖書 book</v>
      </c>
      <c r="I91" t="str">
        <f>("HD53 V222 1999")</f>
        <v>HD53 V222 1999</v>
      </c>
      <c r="J91" t="str">
        <f>("1564143929")</f>
        <v>1564143929</v>
      </c>
      <c r="K91" t="str">
        <f>("800")</f>
        <v>800</v>
      </c>
      <c r="L91" t="str">
        <f t="shared" si="31"/>
        <v>2001/10/10 00:00:00</v>
      </c>
      <c r="M91" t="str">
        <f t="shared" si="38"/>
        <v>2018/08/11 13:33:53</v>
      </c>
      <c r="N91" t="str">
        <f>("1999")</f>
        <v>1999</v>
      </c>
      <c r="O91" t="str">
        <f t="shared" si="39"/>
        <v>4F西文書庫 4F Western Language Books</v>
      </c>
      <c r="P91" t="s">
        <v>64</v>
      </c>
      <c r="W91" t="str">
        <f t="shared" si="32"/>
        <v>美國國會圖書分類法</v>
      </c>
      <c r="Y91" t="str">
        <f>("HD53")</f>
        <v>HD53</v>
      </c>
      <c r="Z91" t="str">
        <f t="shared" si="42"/>
        <v>2018/08/11 13:33:53</v>
      </c>
      <c r="AA91" t="str">
        <f t="shared" si="33"/>
        <v>catc</v>
      </c>
      <c r="AC91" t="str">
        <f>("V222")</f>
        <v>V222</v>
      </c>
      <c r="AE91" t="str">
        <f t="shared" si="36"/>
        <v>c.1</v>
      </c>
      <c r="AF91" t="str">
        <f t="shared" si="40"/>
        <v>1.可借圖書</v>
      </c>
      <c r="AG91" t="str">
        <f t="shared" si="41"/>
        <v>在架</v>
      </c>
      <c r="AI91" t="s">
        <v>65</v>
      </c>
      <c r="AK91" t="str">
        <f t="shared" si="34"/>
        <v>一般(Normal)</v>
      </c>
      <c r="AO91" t="s">
        <v>65</v>
      </c>
      <c r="AS91" t="str">
        <f>("c1999 ")</f>
        <v xml:space="preserve">c1999 </v>
      </c>
      <c r="AT91" t="str">
        <f t="shared" si="35"/>
        <v>catc</v>
      </c>
    </row>
    <row r="92" spans="1:46" x14ac:dyDescent="0.25">
      <c r="A92">
        <v>81</v>
      </c>
      <c r="B92" t="str">
        <f>("289000")</f>
        <v>289000</v>
      </c>
      <c r="C92" t="str">
        <f>("W00002117")</f>
        <v>W00002117</v>
      </c>
      <c r="D92" t="str">
        <f>("Secrets of power negotiating for salespeople :inside secrets from a master negotiator /")</f>
        <v>Secrets of power negotiating for salespeople :inside secrets from a master negotiator /</v>
      </c>
      <c r="E92" t="str">
        <f>("Dawson, Roger,1940- ")</f>
        <v xml:space="preserve">Dawson, Roger,1940- </v>
      </c>
      <c r="F92" t="str">
        <f>("Career Press,")</f>
        <v>Career Press,</v>
      </c>
      <c r="H92" t="str">
        <f t="shared" si="37"/>
        <v>圖書 book</v>
      </c>
      <c r="I92" t="str">
        <f>("HF5438.25 D272 1999")</f>
        <v>HF5438.25 D272 1999</v>
      </c>
      <c r="J92" t="str">
        <f>("1564144283;156414500X")</f>
        <v>1564144283;156414500X</v>
      </c>
      <c r="K92" t="str">
        <f>("740")</f>
        <v>740</v>
      </c>
      <c r="L92" t="str">
        <f t="shared" si="31"/>
        <v>2001/10/10 00:00:00</v>
      </c>
      <c r="M92" t="str">
        <f t="shared" si="38"/>
        <v>2018/08/11 13:33:53</v>
      </c>
      <c r="N92" t="str">
        <f>("1999")</f>
        <v>1999</v>
      </c>
      <c r="O92" t="str">
        <f t="shared" si="39"/>
        <v>4F西文書庫 4F Western Language Books</v>
      </c>
      <c r="P92" t="s">
        <v>64</v>
      </c>
      <c r="W92" t="str">
        <f t="shared" si="32"/>
        <v>美國國會圖書分類法</v>
      </c>
      <c r="Y92" t="str">
        <f>("HF5438.25")</f>
        <v>HF5438.25</v>
      </c>
      <c r="Z92" t="str">
        <f t="shared" si="42"/>
        <v>2018/08/11 13:33:53</v>
      </c>
      <c r="AA92" t="str">
        <f t="shared" si="33"/>
        <v>catc</v>
      </c>
      <c r="AC92" t="str">
        <f>("D272")</f>
        <v>D272</v>
      </c>
      <c r="AE92" t="str">
        <f t="shared" si="36"/>
        <v>c.1</v>
      </c>
      <c r="AF92" t="str">
        <f t="shared" si="40"/>
        <v>1.可借圖書</v>
      </c>
      <c r="AG92" t="str">
        <f t="shared" si="41"/>
        <v>在架</v>
      </c>
      <c r="AI92" t="s">
        <v>65</v>
      </c>
      <c r="AK92" t="str">
        <f t="shared" si="34"/>
        <v>一般(Normal)</v>
      </c>
      <c r="AO92" t="s">
        <v>65</v>
      </c>
      <c r="AS92" t="str">
        <f>("c1999. ")</f>
        <v xml:space="preserve">c1999. </v>
      </c>
      <c r="AT92" t="str">
        <f t="shared" si="35"/>
        <v>catc</v>
      </c>
    </row>
    <row r="93" spans="1:46" x14ac:dyDescent="0.25">
      <c r="A93">
        <v>82</v>
      </c>
      <c r="B93" t="str">
        <f>("289006")</f>
        <v>289006</v>
      </c>
      <c r="C93" t="str">
        <f>("W00002118")</f>
        <v>W00002118</v>
      </c>
      <c r="D93" t="str">
        <f>("Capturing customers.com :radical strategies for selling and marketing in a wired world /")</f>
        <v>Capturing customers.com :radical strategies for selling and marketing in a wired world /</v>
      </c>
      <c r="E93" t="str">
        <f>("Colombo, George W. ")</f>
        <v xml:space="preserve">Colombo, George W. </v>
      </c>
      <c r="F93" t="str">
        <f>("Career Press,")</f>
        <v>Career Press,</v>
      </c>
      <c r="H93" t="str">
        <f t="shared" si="37"/>
        <v>圖書 book</v>
      </c>
      <c r="I93" t="str">
        <f>("HF5415.1265 C718 2001")</f>
        <v>HF5415.1265 C718 2001</v>
      </c>
      <c r="J93" t="str">
        <f>("1564145077")</f>
        <v>1564145077</v>
      </c>
      <c r="K93" t="str">
        <f>("680")</f>
        <v>680</v>
      </c>
      <c r="L93" t="str">
        <f t="shared" si="31"/>
        <v>2001/10/10 00:00:00</v>
      </c>
      <c r="M93" t="str">
        <f t="shared" si="38"/>
        <v>2018/08/11 13:33:53</v>
      </c>
      <c r="N93" t="str">
        <f>("2001")</f>
        <v>2001</v>
      </c>
      <c r="O93" t="str">
        <f t="shared" si="39"/>
        <v>4F西文書庫 4F Western Language Books</v>
      </c>
      <c r="P93" t="s">
        <v>64</v>
      </c>
      <c r="W93" t="str">
        <f t="shared" si="32"/>
        <v>美國國會圖書分類法</v>
      </c>
      <c r="Y93" t="str">
        <f>("HF5415.1265")</f>
        <v>HF5415.1265</v>
      </c>
      <c r="Z93" t="str">
        <f t="shared" si="42"/>
        <v>2018/08/11 13:33:53</v>
      </c>
      <c r="AA93" t="str">
        <f t="shared" si="33"/>
        <v>catc</v>
      </c>
      <c r="AC93" t="str">
        <f>("C718")</f>
        <v>C718</v>
      </c>
      <c r="AE93" t="str">
        <f t="shared" si="36"/>
        <v>c.1</v>
      </c>
      <c r="AF93" t="str">
        <f t="shared" si="40"/>
        <v>1.可借圖書</v>
      </c>
      <c r="AG93" t="str">
        <f t="shared" si="41"/>
        <v>在架</v>
      </c>
      <c r="AI93" t="s">
        <v>65</v>
      </c>
      <c r="AK93" t="str">
        <f t="shared" si="34"/>
        <v>一般(Normal)</v>
      </c>
      <c r="AO93" t="s">
        <v>65</v>
      </c>
      <c r="AS93" t="str">
        <f>("c2001. ")</f>
        <v xml:space="preserve">c2001. </v>
      </c>
      <c r="AT93" t="str">
        <f t="shared" si="35"/>
        <v>catc</v>
      </c>
    </row>
    <row r="94" spans="1:46" x14ac:dyDescent="0.25">
      <c r="A94">
        <v>83</v>
      </c>
      <c r="B94" t="str">
        <f>("289021")</f>
        <v>289021</v>
      </c>
      <c r="C94" t="str">
        <f>("W00002119")</f>
        <v>W00002119</v>
      </c>
      <c r="D94" t="str">
        <f>("Management and cultural values /the indigenization of organizations in Asia /")</f>
        <v>Management and cultural values /the indigenization of organizations in Asia /</v>
      </c>
      <c r="E94" t="str">
        <f>("Kao, Henry S. R.,1940- ")</f>
        <v xml:space="preserve">Kao, Henry S. R.,1940- </v>
      </c>
      <c r="F94" t="str">
        <f>("Sage Publications,")</f>
        <v>Sage Publications,</v>
      </c>
      <c r="H94" t="str">
        <f t="shared" si="37"/>
        <v>圖書 book</v>
      </c>
      <c r="I94" t="str">
        <f>("HD58.7 K11 1999")</f>
        <v>HD58.7 K11 1999</v>
      </c>
      <c r="J94" t="str">
        <f>("0761993193")</f>
        <v>0761993193</v>
      </c>
      <c r="K94" t="str">
        <f>("1248")</f>
        <v>1248</v>
      </c>
      <c r="L94" t="str">
        <f t="shared" si="31"/>
        <v>2001/10/10 00:00:00</v>
      </c>
      <c r="M94" t="str">
        <f t="shared" si="38"/>
        <v>2018/08/11 13:33:53</v>
      </c>
      <c r="N94" t="str">
        <f>("1999")</f>
        <v>1999</v>
      </c>
      <c r="O94" t="str">
        <f t="shared" si="39"/>
        <v>4F西文書庫 4F Western Language Books</v>
      </c>
      <c r="P94" t="s">
        <v>64</v>
      </c>
      <c r="W94" t="str">
        <f t="shared" si="32"/>
        <v>美國國會圖書分類法</v>
      </c>
      <c r="Y94" t="str">
        <f>("HD58.7")</f>
        <v>HD58.7</v>
      </c>
      <c r="Z94" t="str">
        <f t="shared" si="42"/>
        <v>2018/08/11 13:33:53</v>
      </c>
      <c r="AA94" t="str">
        <f t="shared" si="33"/>
        <v>catc</v>
      </c>
      <c r="AC94" t="str">
        <f>("K11")</f>
        <v>K11</v>
      </c>
      <c r="AE94" t="str">
        <f t="shared" si="36"/>
        <v>c.1</v>
      </c>
      <c r="AF94" t="str">
        <f t="shared" si="40"/>
        <v>1.可借圖書</v>
      </c>
      <c r="AG94" t="str">
        <f t="shared" si="41"/>
        <v>在架</v>
      </c>
      <c r="AI94" t="s">
        <v>65</v>
      </c>
      <c r="AK94" t="str">
        <f t="shared" si="34"/>
        <v>一般(Normal)</v>
      </c>
      <c r="AO94" t="s">
        <v>65</v>
      </c>
      <c r="AS94" t="str">
        <f>("1999. ")</f>
        <v xml:space="preserve">1999. </v>
      </c>
      <c r="AT94" t="str">
        <f t="shared" si="35"/>
        <v>catc</v>
      </c>
    </row>
    <row r="95" spans="1:46" x14ac:dyDescent="0.25">
      <c r="A95">
        <v>84</v>
      </c>
      <c r="B95" t="str">
        <f>("289022")</f>
        <v>289022</v>
      </c>
      <c r="C95" t="str">
        <f>("W00002120")</f>
        <v>W00002120</v>
      </c>
      <c r="D95" t="str">
        <f>("Organizational Research Methods:A guide for student and researchers/")</f>
        <v>Organizational Research Methods:A guide for student and researchers/</v>
      </c>
      <c r="E95" t="str">
        <f>("Brewerton,Paul")</f>
        <v>Brewerton,Paul</v>
      </c>
      <c r="F95" t="str">
        <f>("SAGE,")</f>
        <v>SAGE,</v>
      </c>
      <c r="H95" t="str">
        <f t="shared" si="37"/>
        <v>圖書 book</v>
      </c>
      <c r="I95" t="str">
        <f>("HD58.7 B847 2001")</f>
        <v>HD58.7 B847 2001</v>
      </c>
      <c r="J95" t="str">
        <f>("0761971017")</f>
        <v>0761971017</v>
      </c>
      <c r="K95" t="str">
        <f>("792")</f>
        <v>792</v>
      </c>
      <c r="L95" t="str">
        <f t="shared" si="31"/>
        <v>2001/10/10 00:00:00</v>
      </c>
      <c r="M95" t="str">
        <f t="shared" si="38"/>
        <v>2018/08/11 13:33:53</v>
      </c>
      <c r="N95" t="str">
        <f>("2001")</f>
        <v>2001</v>
      </c>
      <c r="O95" t="str">
        <f t="shared" si="39"/>
        <v>4F西文書庫 4F Western Language Books</v>
      </c>
      <c r="P95" t="s">
        <v>64</v>
      </c>
      <c r="W95" t="str">
        <f t="shared" si="32"/>
        <v>美國國會圖書分類法</v>
      </c>
      <c r="Y95" t="str">
        <f>("HD58.7")</f>
        <v>HD58.7</v>
      </c>
      <c r="Z95" t="str">
        <f t="shared" si="42"/>
        <v>2018/08/11 13:33:53</v>
      </c>
      <c r="AA95" t="str">
        <f t="shared" si="33"/>
        <v>catc</v>
      </c>
      <c r="AC95" t="str">
        <f>("B847")</f>
        <v>B847</v>
      </c>
      <c r="AE95" t="str">
        <f t="shared" si="36"/>
        <v>c.1</v>
      </c>
      <c r="AF95" t="str">
        <f t="shared" si="40"/>
        <v>1.可借圖書</v>
      </c>
      <c r="AG95" t="str">
        <f t="shared" si="41"/>
        <v>在架</v>
      </c>
      <c r="AI95" t="s">
        <v>65</v>
      </c>
      <c r="AK95" t="str">
        <f t="shared" si="34"/>
        <v>一般(Normal)</v>
      </c>
      <c r="AO95" t="s">
        <v>65</v>
      </c>
      <c r="AS95" t="str">
        <f>("c2001.")</f>
        <v>c2001.</v>
      </c>
      <c r="AT95" t="str">
        <f t="shared" si="35"/>
        <v>catc</v>
      </c>
    </row>
    <row r="96" spans="1:46" x14ac:dyDescent="0.25">
      <c r="A96">
        <v>85</v>
      </c>
      <c r="B96" t="str">
        <f>("289023")</f>
        <v>289023</v>
      </c>
      <c r="C96" t="str">
        <f>("W00002121")</f>
        <v>W00002121</v>
      </c>
      <c r="D96" t="str">
        <f>("Qualitative methods in management research /")</f>
        <v>Qualitative methods in management research /</v>
      </c>
      <c r="E96" t="str">
        <f>("Gummesson, Evert,1936- ")</f>
        <v xml:space="preserve">Gummesson, Evert,1936- </v>
      </c>
      <c r="F96" t="str">
        <f>("Sage,")</f>
        <v>Sage,</v>
      </c>
      <c r="G96" t="str">
        <f>("2nd ed. ")</f>
        <v xml:space="preserve">2nd ed. </v>
      </c>
      <c r="H96" t="str">
        <f t="shared" si="37"/>
        <v>圖書 book</v>
      </c>
      <c r="I96" t="str">
        <f>("HD30.4 G974 2000")</f>
        <v>HD30.4 G974 2000</v>
      </c>
      <c r="J96" t="str">
        <f>("0761920145")</f>
        <v>0761920145</v>
      </c>
      <c r="K96" t="str">
        <f>("916")</f>
        <v>916</v>
      </c>
      <c r="L96" t="str">
        <f t="shared" si="31"/>
        <v>2001/10/10 00:00:00</v>
      </c>
      <c r="M96" t="str">
        <f t="shared" si="38"/>
        <v>2018/08/11 13:33:53</v>
      </c>
      <c r="N96" t="str">
        <f>("2000")</f>
        <v>2000</v>
      </c>
      <c r="O96" t="str">
        <f t="shared" si="39"/>
        <v>4F西文書庫 4F Western Language Books</v>
      </c>
      <c r="P96" t="s">
        <v>64</v>
      </c>
      <c r="W96" t="str">
        <f t="shared" si="32"/>
        <v>美國國會圖書分類法</v>
      </c>
      <c r="Y96" t="str">
        <f>("HD30.4")</f>
        <v>HD30.4</v>
      </c>
      <c r="Z96" t="str">
        <f t="shared" si="42"/>
        <v>2018/08/11 13:33:53</v>
      </c>
      <c r="AA96" t="str">
        <f t="shared" si="33"/>
        <v>catc</v>
      </c>
      <c r="AC96" t="str">
        <f>("G974")</f>
        <v>G974</v>
      </c>
      <c r="AE96" t="str">
        <f t="shared" si="36"/>
        <v>c.1</v>
      </c>
      <c r="AF96" t="str">
        <f t="shared" si="40"/>
        <v>1.可借圖書</v>
      </c>
      <c r="AG96" t="str">
        <f t="shared" si="41"/>
        <v>在架</v>
      </c>
      <c r="AI96" t="s">
        <v>65</v>
      </c>
      <c r="AK96" t="str">
        <f t="shared" si="34"/>
        <v>一般(Normal)</v>
      </c>
      <c r="AO96" t="s">
        <v>65</v>
      </c>
      <c r="AS96" t="str">
        <f>("c2000. ")</f>
        <v xml:space="preserve">c2000. </v>
      </c>
      <c r="AT96" t="str">
        <f t="shared" si="35"/>
        <v>catc</v>
      </c>
    </row>
    <row r="97" spans="1:46" x14ac:dyDescent="0.25">
      <c r="A97">
        <v>86</v>
      </c>
      <c r="B97" t="str">
        <f>("289024")</f>
        <v>289024</v>
      </c>
      <c r="C97" t="str">
        <f>("W00002122")</f>
        <v>W00002122</v>
      </c>
      <c r="D97" t="str">
        <f>("Building a great resume?:for job hunters, career changers, consultants, and freelancers /")</f>
        <v>Building a great resume?:for job hunters, career changers, consultants, and freelancers /</v>
      </c>
      <c r="E97" t="str">
        <f>("Wendleton, Kate ")</f>
        <v xml:space="preserve">Wendleton, Kate </v>
      </c>
      <c r="F97" t="str">
        <f>("Career Press,")</f>
        <v>Career Press,</v>
      </c>
      <c r="G97" t="str">
        <f>("2nd ed ")</f>
        <v xml:space="preserve">2nd ed </v>
      </c>
      <c r="H97" t="str">
        <f t="shared" si="37"/>
        <v>圖書 book</v>
      </c>
      <c r="I97" t="str">
        <f>("HF5383 W471 1999")</f>
        <v>HF5383 W471 1999</v>
      </c>
      <c r="J97" t="str">
        <f>("156414433X")</f>
        <v>156414433X</v>
      </c>
      <c r="K97" t="str">
        <f>("384")</f>
        <v>384</v>
      </c>
      <c r="L97" t="str">
        <f t="shared" si="31"/>
        <v>2001/10/10 00:00:00</v>
      </c>
      <c r="M97" t="str">
        <f t="shared" ref="M97:M103" si="43">("2018/08/11 13:33:54")</f>
        <v>2018/08/11 13:33:54</v>
      </c>
      <c r="N97" t="str">
        <f>("1999")</f>
        <v>1999</v>
      </c>
      <c r="O97" t="str">
        <f t="shared" si="39"/>
        <v>4F西文書庫 4F Western Language Books</v>
      </c>
      <c r="P97" t="s">
        <v>64</v>
      </c>
      <c r="W97" t="str">
        <f t="shared" si="32"/>
        <v>美國國會圖書分類法</v>
      </c>
      <c r="Y97" t="str">
        <f>("HF5383")</f>
        <v>HF5383</v>
      </c>
      <c r="Z97" t="str">
        <f t="shared" si="42"/>
        <v>2018/08/11 13:33:53</v>
      </c>
      <c r="AA97" t="str">
        <f t="shared" si="33"/>
        <v>catc</v>
      </c>
      <c r="AC97" t="str">
        <f>("W471")</f>
        <v>W471</v>
      </c>
      <c r="AE97" t="str">
        <f t="shared" si="36"/>
        <v>c.1</v>
      </c>
      <c r="AF97" t="str">
        <f t="shared" si="40"/>
        <v>1.可借圖書</v>
      </c>
      <c r="AG97" t="str">
        <f t="shared" si="41"/>
        <v>在架</v>
      </c>
      <c r="AI97" t="s">
        <v>65</v>
      </c>
      <c r="AK97" t="str">
        <f t="shared" si="34"/>
        <v>一般(Normal)</v>
      </c>
      <c r="AO97" t="s">
        <v>65</v>
      </c>
      <c r="AS97" t="str">
        <f>("1999 ")</f>
        <v xml:space="preserve">1999 </v>
      </c>
      <c r="AT97" t="str">
        <f t="shared" si="35"/>
        <v>catc</v>
      </c>
    </row>
    <row r="98" spans="1:46" x14ac:dyDescent="0.25">
      <c r="A98">
        <v>87</v>
      </c>
      <c r="B98" t="str">
        <f>("289025")</f>
        <v>289025</v>
      </c>
      <c r="C98" t="str">
        <f>("W00002123")</f>
        <v>W00002123</v>
      </c>
      <c r="D98" t="str">
        <f>("Knowledge management tools /")</f>
        <v>Knowledge management tools /</v>
      </c>
      <c r="E98" t="str">
        <f>("Ruggles, Rudy L.,1966-")</f>
        <v>Ruggles, Rudy L.,1966-</v>
      </c>
      <c r="F98" t="str">
        <f>("Butterworth-Heinemann,")</f>
        <v>Butterworth-Heinemann,</v>
      </c>
      <c r="H98" t="str">
        <f t="shared" si="37"/>
        <v>圖書 book</v>
      </c>
      <c r="I98" t="str">
        <f>("T58.64 R932 1997")</f>
        <v>T58.64 R932 1997</v>
      </c>
      <c r="J98" t="str">
        <f>("0750698497")</f>
        <v>0750698497</v>
      </c>
      <c r="K98" t="str">
        <f>("748")</f>
        <v>748</v>
      </c>
      <c r="L98" t="str">
        <f t="shared" si="31"/>
        <v>2001/10/10 00:00:00</v>
      </c>
      <c r="M98" t="str">
        <f t="shared" si="43"/>
        <v>2018/08/11 13:33:54</v>
      </c>
      <c r="N98" t="str">
        <f>("1997")</f>
        <v>1997</v>
      </c>
      <c r="O98" t="str">
        <f t="shared" si="39"/>
        <v>4F西文書庫 4F Western Language Books</v>
      </c>
      <c r="P98" t="s">
        <v>64</v>
      </c>
      <c r="W98" t="str">
        <f t="shared" si="32"/>
        <v>美國國會圖書分類法</v>
      </c>
      <c r="Y98" t="str">
        <f>("T58.64")</f>
        <v>T58.64</v>
      </c>
      <c r="Z98" t="str">
        <f t="shared" ref="Z98:Z103" si="44">("2018/08/11 13:33:54")</f>
        <v>2018/08/11 13:33:54</v>
      </c>
      <c r="AA98" t="str">
        <f t="shared" si="33"/>
        <v>catc</v>
      </c>
      <c r="AC98" t="str">
        <f>("R932")</f>
        <v>R932</v>
      </c>
      <c r="AE98" t="str">
        <f t="shared" si="36"/>
        <v>c.1</v>
      </c>
      <c r="AF98" t="str">
        <f t="shared" si="40"/>
        <v>1.可借圖書</v>
      </c>
      <c r="AG98" t="str">
        <f t="shared" si="41"/>
        <v>在架</v>
      </c>
      <c r="AI98" t="s">
        <v>65</v>
      </c>
      <c r="AK98" t="str">
        <f t="shared" si="34"/>
        <v>一般(Normal)</v>
      </c>
      <c r="AO98" t="s">
        <v>65</v>
      </c>
      <c r="AS98" t="str">
        <f>("c1997. ")</f>
        <v xml:space="preserve">c1997. </v>
      </c>
      <c r="AT98" t="str">
        <f t="shared" si="35"/>
        <v>catc</v>
      </c>
    </row>
    <row r="99" spans="1:46" x14ac:dyDescent="0.25">
      <c r="A99">
        <v>88</v>
      </c>
      <c r="B99" t="str">
        <f>("289026")</f>
        <v>289026</v>
      </c>
      <c r="C99" t="str">
        <f>("W00002124")</f>
        <v>W00002124</v>
      </c>
      <c r="D99" t="str">
        <f>("International business etiquette.what you need to know to conduct business abroad with charm and savvy / Asia &amp; the Pacific Rim :")</f>
        <v>International business etiquette.what you need to know to conduct business abroad with charm and savvy / Asia &amp; the Pacific Rim :</v>
      </c>
      <c r="E99" t="str">
        <f>("Sabath, Ann Marie. ")</f>
        <v xml:space="preserve">Sabath, Ann Marie. </v>
      </c>
      <c r="F99" t="str">
        <f>("Career Press,")</f>
        <v>Career Press,</v>
      </c>
      <c r="H99" t="str">
        <f t="shared" si="37"/>
        <v>圖書 book</v>
      </c>
      <c r="I99" t="str">
        <f>("HF5389.3.A78 S113 1999")</f>
        <v>HF5389.3.A78 S113 1999</v>
      </c>
      <c r="J99" t="str">
        <f>("1564143732")</f>
        <v>1564143732</v>
      </c>
      <c r="K99" t="str">
        <f>("444")</f>
        <v>444</v>
      </c>
      <c r="L99" t="str">
        <f t="shared" si="31"/>
        <v>2001/10/10 00:00:00</v>
      </c>
      <c r="M99" t="str">
        <f t="shared" si="43"/>
        <v>2018/08/11 13:33:54</v>
      </c>
      <c r="N99" t="str">
        <f>("1999")</f>
        <v>1999</v>
      </c>
      <c r="O99" t="str">
        <f t="shared" si="39"/>
        <v>4F西文書庫 4F Western Language Books</v>
      </c>
      <c r="P99" t="s">
        <v>64</v>
      </c>
      <c r="W99" t="str">
        <f t="shared" si="32"/>
        <v>美國國會圖書分類法</v>
      </c>
      <c r="Y99" t="str">
        <f>("HF5389.3.A78")</f>
        <v>HF5389.3.A78</v>
      </c>
      <c r="Z99" t="str">
        <f t="shared" si="44"/>
        <v>2018/08/11 13:33:54</v>
      </c>
      <c r="AA99" t="str">
        <f t="shared" si="33"/>
        <v>catc</v>
      </c>
      <c r="AC99" t="str">
        <f>("S113")</f>
        <v>S113</v>
      </c>
      <c r="AE99" t="str">
        <f t="shared" si="36"/>
        <v>c.1</v>
      </c>
      <c r="AF99" t="str">
        <f t="shared" si="40"/>
        <v>1.可借圖書</v>
      </c>
      <c r="AG99" t="str">
        <f t="shared" si="41"/>
        <v>在架</v>
      </c>
      <c r="AI99" t="s">
        <v>65</v>
      </c>
      <c r="AK99" t="str">
        <f t="shared" si="34"/>
        <v>一般(Normal)</v>
      </c>
      <c r="AO99" t="s">
        <v>65</v>
      </c>
      <c r="AS99" t="str">
        <f>("c1999. ")</f>
        <v xml:space="preserve">c1999. </v>
      </c>
      <c r="AT99" t="str">
        <f t="shared" si="35"/>
        <v>catc</v>
      </c>
    </row>
    <row r="100" spans="1:46" x14ac:dyDescent="0.25">
      <c r="A100">
        <v>89</v>
      </c>
      <c r="B100" t="str">
        <f>("289007")</f>
        <v>289007</v>
      </c>
      <c r="C100" t="str">
        <f>("W00002125")</f>
        <v>W00002125</v>
      </c>
      <c r="D100" t="str">
        <f>("How to manage conflict :turn all conflicts into win-win outcomes /")</f>
        <v>How to manage conflict :turn all conflicts into win-win outcomes /</v>
      </c>
      <c r="E100" t="str">
        <f>("Pickering, Peg. ")</f>
        <v xml:space="preserve">Pickering, Peg. </v>
      </c>
      <c r="F100" t="str">
        <f>("Career Press,")</f>
        <v>Career Press,</v>
      </c>
      <c r="G100" t="str">
        <f>("3rd ed. ")</f>
        <v xml:space="preserve">3rd ed. </v>
      </c>
      <c r="H100" t="str">
        <f t="shared" si="37"/>
        <v>圖書 book</v>
      </c>
      <c r="I100" t="str">
        <f>("HM1126 P596 2000")</f>
        <v>HM1126 P596 2000</v>
      </c>
      <c r="J100" t="str">
        <f>("1564144402")</f>
        <v>1564144402</v>
      </c>
      <c r="K100" t="str">
        <f>("328")</f>
        <v>328</v>
      </c>
      <c r="L100" t="str">
        <f t="shared" si="31"/>
        <v>2001/10/10 00:00:00</v>
      </c>
      <c r="M100" t="str">
        <f t="shared" si="43"/>
        <v>2018/08/11 13:33:54</v>
      </c>
      <c r="N100" t="str">
        <f>("2000")</f>
        <v>2000</v>
      </c>
      <c r="O100" t="str">
        <f t="shared" si="39"/>
        <v>4F西文書庫 4F Western Language Books</v>
      </c>
      <c r="P100" t="s">
        <v>64</v>
      </c>
      <c r="W100" t="str">
        <f t="shared" si="32"/>
        <v>美國國會圖書分類法</v>
      </c>
      <c r="Y100" t="str">
        <f>("HM1126")</f>
        <v>HM1126</v>
      </c>
      <c r="Z100" t="str">
        <f t="shared" si="44"/>
        <v>2018/08/11 13:33:54</v>
      </c>
      <c r="AA100" t="str">
        <f t="shared" si="33"/>
        <v>catc</v>
      </c>
      <c r="AC100" t="str">
        <f>("P596")</f>
        <v>P596</v>
      </c>
      <c r="AE100" t="str">
        <f t="shared" si="36"/>
        <v>c.1</v>
      </c>
      <c r="AF100" t="str">
        <f t="shared" si="40"/>
        <v>1.可借圖書</v>
      </c>
      <c r="AG100" t="str">
        <f t="shared" si="41"/>
        <v>在架</v>
      </c>
      <c r="AI100" t="s">
        <v>65</v>
      </c>
      <c r="AK100" t="str">
        <f t="shared" si="34"/>
        <v>一般(Normal)</v>
      </c>
      <c r="AO100" t="s">
        <v>65</v>
      </c>
      <c r="AS100" t="str">
        <f>("2000. ")</f>
        <v xml:space="preserve">2000. </v>
      </c>
      <c r="AT100" t="str">
        <f t="shared" si="35"/>
        <v>catc</v>
      </c>
    </row>
    <row r="101" spans="1:46" x14ac:dyDescent="0.25">
      <c r="A101">
        <v>90</v>
      </c>
      <c r="B101" t="str">
        <f>("289008")</f>
        <v>289008</v>
      </c>
      <c r="C101" t="str">
        <f>("W00002126")</f>
        <v>W00002126</v>
      </c>
      <c r="D101" t="str">
        <f>("Sales management /")</f>
        <v>Sales management /</v>
      </c>
      <c r="E101" t="str">
        <f>("Calvin, Robert J. ")</f>
        <v xml:space="preserve">Calvin, Robert J. </v>
      </c>
      <c r="F101" t="str">
        <f>("McGraw-Hill,")</f>
        <v>McGraw-Hill,</v>
      </c>
      <c r="H101" t="str">
        <f t="shared" si="37"/>
        <v>圖書 book</v>
      </c>
      <c r="I101" t="str">
        <f>("HF5438.4 C168 2001")</f>
        <v>HF5438.4 C168 2001</v>
      </c>
      <c r="J101" t="str">
        <f>("007136434X")</f>
        <v>007136434X</v>
      </c>
      <c r="K101" t="str">
        <f>("884")</f>
        <v>884</v>
      </c>
      <c r="L101" t="str">
        <f t="shared" si="31"/>
        <v>2001/10/10 00:00:00</v>
      </c>
      <c r="M101" t="str">
        <f t="shared" si="43"/>
        <v>2018/08/11 13:33:54</v>
      </c>
      <c r="N101" t="str">
        <f>("2001")</f>
        <v>2001</v>
      </c>
      <c r="O101" t="str">
        <f t="shared" si="39"/>
        <v>4F西文書庫 4F Western Language Books</v>
      </c>
      <c r="P101" t="s">
        <v>64</v>
      </c>
      <c r="W101" t="str">
        <f t="shared" si="32"/>
        <v>美國國會圖書分類法</v>
      </c>
      <c r="Y101" t="str">
        <f>("HF5438.4")</f>
        <v>HF5438.4</v>
      </c>
      <c r="Z101" t="str">
        <f t="shared" si="44"/>
        <v>2018/08/11 13:33:54</v>
      </c>
      <c r="AA101" t="str">
        <f t="shared" si="33"/>
        <v>catc</v>
      </c>
      <c r="AC101" t="str">
        <f>("C168")</f>
        <v>C168</v>
      </c>
      <c r="AE101" t="str">
        <f t="shared" si="36"/>
        <v>c.1</v>
      </c>
      <c r="AF101" t="str">
        <f t="shared" si="40"/>
        <v>1.可借圖書</v>
      </c>
      <c r="AG101" t="str">
        <f t="shared" si="41"/>
        <v>在架</v>
      </c>
      <c r="AI101" t="s">
        <v>65</v>
      </c>
      <c r="AK101" t="str">
        <f t="shared" si="34"/>
        <v>一般(Normal)</v>
      </c>
      <c r="AO101" t="s">
        <v>65</v>
      </c>
      <c r="AS101" t="str">
        <f>("c2001. ")</f>
        <v xml:space="preserve">c2001. </v>
      </c>
      <c r="AT101" t="str">
        <f t="shared" si="35"/>
        <v>catc</v>
      </c>
    </row>
    <row r="102" spans="1:46" x14ac:dyDescent="0.25">
      <c r="A102">
        <v>91</v>
      </c>
      <c r="B102" t="str">
        <f>("289009")</f>
        <v>289009</v>
      </c>
      <c r="C102" t="str">
        <f>("W00002127")</f>
        <v>W00002127</v>
      </c>
      <c r="D102" t="str">
        <f>("CRM at the speed of light :capturing and keeping customers in Internet real time /")</f>
        <v>CRM at the speed of light :capturing and keeping customers in Internet real time /</v>
      </c>
      <c r="E102" t="str">
        <f>("Greenberg, Paul ")</f>
        <v xml:space="preserve">Greenberg, Paul </v>
      </c>
      <c r="F102" t="str">
        <f>("Osborne,")</f>
        <v>Osborne,</v>
      </c>
      <c r="H102" t="str">
        <f t="shared" si="37"/>
        <v>圖書 book</v>
      </c>
      <c r="I102" t="str">
        <f>("HF5415.5 G795 2001")</f>
        <v>HF5415.5 G795 2001</v>
      </c>
      <c r="J102" t="str">
        <f>("0072127821")</f>
        <v>0072127821</v>
      </c>
      <c r="K102" t="str">
        <f>("888")</f>
        <v>888</v>
      </c>
      <c r="L102" t="str">
        <f t="shared" si="31"/>
        <v>2001/10/10 00:00:00</v>
      </c>
      <c r="M102" t="str">
        <f t="shared" si="43"/>
        <v>2018/08/11 13:33:54</v>
      </c>
      <c r="N102" t="str">
        <f>("2001")</f>
        <v>2001</v>
      </c>
      <c r="O102" t="str">
        <f t="shared" si="39"/>
        <v>4F西文書庫 4F Western Language Books</v>
      </c>
      <c r="P102" t="s">
        <v>64</v>
      </c>
      <c r="W102" t="str">
        <f t="shared" si="32"/>
        <v>美國國會圖書分類法</v>
      </c>
      <c r="Y102" t="str">
        <f>("HF5415.5")</f>
        <v>HF5415.5</v>
      </c>
      <c r="Z102" t="str">
        <f t="shared" si="44"/>
        <v>2018/08/11 13:33:54</v>
      </c>
      <c r="AA102" t="str">
        <f t="shared" si="33"/>
        <v>catc</v>
      </c>
      <c r="AC102" t="str">
        <f>("G795")</f>
        <v>G795</v>
      </c>
      <c r="AE102" t="str">
        <f t="shared" si="36"/>
        <v>c.1</v>
      </c>
      <c r="AF102" t="str">
        <f t="shared" si="40"/>
        <v>1.可借圖書</v>
      </c>
      <c r="AG102" t="str">
        <f t="shared" si="41"/>
        <v>在架</v>
      </c>
      <c r="AI102" t="s">
        <v>65</v>
      </c>
      <c r="AK102" t="str">
        <f t="shared" si="34"/>
        <v>一般(Normal)</v>
      </c>
      <c r="AO102" t="s">
        <v>65</v>
      </c>
      <c r="AS102" t="str">
        <f>("2001 ")</f>
        <v xml:space="preserve">2001 </v>
      </c>
      <c r="AT102" t="str">
        <f t="shared" si="35"/>
        <v>catc</v>
      </c>
    </row>
    <row r="103" spans="1:46" x14ac:dyDescent="0.25">
      <c r="A103">
        <v>92</v>
      </c>
      <c r="B103" t="str">
        <f>("289010")</f>
        <v>289010</v>
      </c>
      <c r="C103" t="str">
        <f>("W00002128")</f>
        <v>W00002128</v>
      </c>
      <c r="D103" t="str">
        <f>("Marketing in travel and tourism /")</f>
        <v>Marketing in travel and tourism /</v>
      </c>
      <c r="E103" t="str">
        <f>("Middleton, Victor T. C. ")</f>
        <v xml:space="preserve">Middleton, Victor T. C. </v>
      </c>
      <c r="F103" t="str">
        <f>("Butterworth-Heinemann,")</f>
        <v>Butterworth-Heinemann,</v>
      </c>
      <c r="G103" t="str">
        <f>("3rd ed. ")</f>
        <v xml:space="preserve">3rd ed. </v>
      </c>
      <c r="H103" t="str">
        <f t="shared" si="37"/>
        <v>圖書 book</v>
      </c>
      <c r="I103" t="str">
        <f>("HF5415.1263 M628 2001")</f>
        <v>HF5415.1263 M628 2001</v>
      </c>
      <c r="J103" t="str">
        <f>("0750644710")</f>
        <v>0750644710</v>
      </c>
      <c r="K103" t="str">
        <f>("880")</f>
        <v>880</v>
      </c>
      <c r="L103" t="str">
        <f t="shared" si="31"/>
        <v>2001/10/10 00:00:00</v>
      </c>
      <c r="M103" t="str">
        <f t="shared" si="43"/>
        <v>2018/08/11 13:33:54</v>
      </c>
      <c r="N103" t="str">
        <f>("2001")</f>
        <v>2001</v>
      </c>
      <c r="O103" t="str">
        <f t="shared" si="39"/>
        <v>4F西文書庫 4F Western Language Books</v>
      </c>
      <c r="P103" t="s">
        <v>64</v>
      </c>
      <c r="W103" t="str">
        <f t="shared" si="32"/>
        <v>美國國會圖書分類法</v>
      </c>
      <c r="Y103" t="str">
        <f>("HF5415.1263")</f>
        <v>HF5415.1263</v>
      </c>
      <c r="Z103" t="str">
        <f t="shared" si="44"/>
        <v>2018/08/11 13:33:54</v>
      </c>
      <c r="AA103" t="str">
        <f t="shared" si="33"/>
        <v>catc</v>
      </c>
      <c r="AC103" t="str">
        <f>("M628")</f>
        <v>M628</v>
      </c>
      <c r="AE103" t="str">
        <f t="shared" si="36"/>
        <v>c.1</v>
      </c>
      <c r="AF103" t="str">
        <f t="shared" si="40"/>
        <v>1.可借圖書</v>
      </c>
      <c r="AG103" t="str">
        <f t="shared" si="41"/>
        <v>在架</v>
      </c>
      <c r="AI103" t="s">
        <v>65</v>
      </c>
      <c r="AK103" t="str">
        <f t="shared" si="34"/>
        <v>一般(Normal)</v>
      </c>
      <c r="AO103" t="s">
        <v>65</v>
      </c>
      <c r="AS103" t="str">
        <f>("2001. ")</f>
        <v xml:space="preserve">2001. </v>
      </c>
      <c r="AT103" t="str">
        <f t="shared" si="35"/>
        <v>catc</v>
      </c>
    </row>
    <row r="104" spans="1:46" x14ac:dyDescent="0.25">
      <c r="A104">
        <v>93</v>
      </c>
      <c r="B104" t="str">
        <f>("288121")</f>
        <v>288121</v>
      </c>
      <c r="C104" t="str">
        <f>("W00002129")</f>
        <v>W00002129</v>
      </c>
      <c r="D104" t="str">
        <f>("Total relationship marketing :from the 4Ps-product, price, promotion, place- of traditional marketing management to the 30Rs-the thirty relationships- of the new marketing paradigm /")</f>
        <v>Total relationship marketing :from the 4Ps-product, price, promotion, place- of traditional marketing management to the 30Rs-the thirty relationships- of the new marketing paradigm /</v>
      </c>
      <c r="E104" t="str">
        <f>("Gummesson, Evert,1936-")</f>
        <v>Gummesson, Evert,1936-</v>
      </c>
      <c r="F104" t="str">
        <f>("Butterworth-Heinemann,")</f>
        <v>Butterworth-Heinemann,</v>
      </c>
      <c r="H104" t="str">
        <f t="shared" si="37"/>
        <v>圖書 book</v>
      </c>
      <c r="I104" t="str">
        <f>("HF5415.55 G974 1999")</f>
        <v>HF5415.55 G974 1999</v>
      </c>
      <c r="J104" t="str">
        <f>("075064463X")</f>
        <v>075064463X</v>
      </c>
      <c r="K104" t="str">
        <f>("924")</f>
        <v>924</v>
      </c>
      <c r="L104" t="str">
        <f t="shared" si="31"/>
        <v>2001/10/10 00:00:00</v>
      </c>
      <c r="M104" t="str">
        <f>("2018/08/11 13:32:26")</f>
        <v>2018/08/11 13:32:26</v>
      </c>
      <c r="N104" t="str">
        <f>("1999")</f>
        <v>1999</v>
      </c>
      <c r="O104" t="str">
        <f t="shared" si="39"/>
        <v>4F西文書庫 4F Western Language Books</v>
      </c>
      <c r="P104" t="s">
        <v>64</v>
      </c>
      <c r="S104" t="str">
        <f>("xiii, 281 p. :")</f>
        <v>xiii, 281 p. :</v>
      </c>
      <c r="T104" t="str">
        <f>("ill. ;")</f>
        <v>ill. ;</v>
      </c>
      <c r="U104" t="str">
        <f>("25 cm.")</f>
        <v>25 cm.</v>
      </c>
      <c r="W104" t="str">
        <f t="shared" si="32"/>
        <v>美國國會圖書分類法</v>
      </c>
      <c r="Y104" t="str">
        <f>("HF5415.55")</f>
        <v>HF5415.55</v>
      </c>
      <c r="Z104" t="str">
        <f>("2018/08/11 13:32:26")</f>
        <v>2018/08/11 13:32:26</v>
      </c>
      <c r="AA104" t="str">
        <f t="shared" si="33"/>
        <v>catc</v>
      </c>
      <c r="AC104" t="str">
        <f>("G974")</f>
        <v>G974</v>
      </c>
      <c r="AE104" t="str">
        <f t="shared" si="36"/>
        <v>c.1</v>
      </c>
      <c r="AF104" t="str">
        <f t="shared" si="40"/>
        <v>1.可借圖書</v>
      </c>
      <c r="AG104" t="str">
        <f t="shared" si="41"/>
        <v>在架</v>
      </c>
      <c r="AI104" t="s">
        <v>65</v>
      </c>
      <c r="AK104" t="str">
        <f t="shared" si="34"/>
        <v>一般(Normal)</v>
      </c>
      <c r="AO104" t="s">
        <v>65</v>
      </c>
      <c r="AS104" t="str">
        <f>("1999.")</f>
        <v>1999.</v>
      </c>
      <c r="AT104" t="str">
        <f t="shared" si="35"/>
        <v>catc</v>
      </c>
    </row>
    <row r="105" spans="1:46" x14ac:dyDescent="0.25">
      <c r="A105">
        <v>94</v>
      </c>
      <c r="B105" t="str">
        <f>("289011")</f>
        <v>289011</v>
      </c>
      <c r="C105" t="str">
        <f>("W00002130")</f>
        <v>W00002130</v>
      </c>
      <c r="D105" t="str">
        <f>("Management projects")</f>
        <v>Management projects</v>
      </c>
      <c r="E105" t="str">
        <f>("Nickson,David")</f>
        <v>Nickson,David</v>
      </c>
      <c r="F105" t="str">
        <f>("Planta Tree,")</f>
        <v>Planta Tree,</v>
      </c>
      <c r="H105" t="str">
        <f t="shared" si="37"/>
        <v>圖書 book</v>
      </c>
      <c r="I105" t="str">
        <f>("HD30.4 N632 1997")</f>
        <v>HD30.4 N632 1997</v>
      </c>
      <c r="J105" t="str">
        <f>("0750634715")</f>
        <v>0750634715</v>
      </c>
      <c r="K105" t="str">
        <f>("616")</f>
        <v>616</v>
      </c>
      <c r="L105" t="str">
        <f t="shared" si="31"/>
        <v>2001/10/10 00:00:00</v>
      </c>
      <c r="M105" t="str">
        <f>("2018/08/11 13:33:54")</f>
        <v>2018/08/11 13:33:54</v>
      </c>
      <c r="N105" t="str">
        <f>("1997")</f>
        <v>1997</v>
      </c>
      <c r="O105" t="str">
        <f t="shared" si="39"/>
        <v>4F西文書庫 4F Western Language Books</v>
      </c>
      <c r="P105" t="s">
        <v>64</v>
      </c>
      <c r="W105" t="str">
        <f t="shared" si="32"/>
        <v>美國國會圖書分類法</v>
      </c>
      <c r="Y105" t="str">
        <f>("HD30.4")</f>
        <v>HD30.4</v>
      </c>
      <c r="Z105" t="str">
        <f>("2018/08/11 13:33:54")</f>
        <v>2018/08/11 13:33:54</v>
      </c>
      <c r="AA105" t="str">
        <f t="shared" si="33"/>
        <v>catc</v>
      </c>
      <c r="AC105" t="str">
        <f>("N632")</f>
        <v>N632</v>
      </c>
      <c r="AE105" t="str">
        <f t="shared" si="36"/>
        <v>c.1</v>
      </c>
      <c r="AF105" t="str">
        <f t="shared" si="40"/>
        <v>1.可借圖書</v>
      </c>
      <c r="AG105" t="str">
        <f t="shared" si="41"/>
        <v>在架</v>
      </c>
      <c r="AI105" t="s">
        <v>65</v>
      </c>
      <c r="AK105" t="str">
        <f t="shared" si="34"/>
        <v>一般(Normal)</v>
      </c>
      <c r="AO105" t="s">
        <v>65</v>
      </c>
      <c r="AS105" t="str">
        <f>("c1997")</f>
        <v>c1997</v>
      </c>
      <c r="AT105" t="str">
        <f t="shared" si="35"/>
        <v>catc</v>
      </c>
    </row>
    <row r="106" spans="1:46" x14ac:dyDescent="0.25">
      <c r="A106">
        <v>95</v>
      </c>
      <c r="B106" t="str">
        <f>("289012")</f>
        <v>289012</v>
      </c>
      <c r="C106" t="str">
        <f>("W00002131")</f>
        <v>W00002131</v>
      </c>
      <c r="D106" t="str">
        <f>("High performance selling :advice, tactics, and tools : the complete guide to sales success.")</f>
        <v>High performance selling :advice, tactics, and tools : the complete guide to sales success.</v>
      </c>
      <c r="E106" t="str">
        <f>("Beck, Terry,1962- ")</f>
        <v xml:space="preserve">Beck, Terry,1962- </v>
      </c>
      <c r="F106" t="str">
        <f>("Career Press,")</f>
        <v>Career Press,</v>
      </c>
      <c r="H106" t="str">
        <f t="shared" si="37"/>
        <v>圖書 book</v>
      </c>
      <c r="I106" t="str">
        <f>("HF5438.25 B393 2001")</f>
        <v>HF5438.25 B393 2001</v>
      </c>
      <c r="K106" t="str">
        <f>("476")</f>
        <v>476</v>
      </c>
      <c r="L106" t="str">
        <f t="shared" si="31"/>
        <v>2001/10/10 00:00:00</v>
      </c>
      <c r="M106" t="str">
        <f>("2018/08/11 13:33:54")</f>
        <v>2018/08/11 13:33:54</v>
      </c>
      <c r="N106" t="str">
        <f>("2001")</f>
        <v>2001</v>
      </c>
      <c r="O106" t="str">
        <f t="shared" si="39"/>
        <v>4F西文書庫 4F Western Language Books</v>
      </c>
      <c r="P106" t="s">
        <v>64</v>
      </c>
      <c r="W106" t="str">
        <f t="shared" si="32"/>
        <v>美國國會圖書分類法</v>
      </c>
      <c r="Y106" t="str">
        <f>("HF5438.25")</f>
        <v>HF5438.25</v>
      </c>
      <c r="Z106" t="str">
        <f>("2018/08/11 13:33:54")</f>
        <v>2018/08/11 13:33:54</v>
      </c>
      <c r="AA106" t="str">
        <f t="shared" si="33"/>
        <v>catc</v>
      </c>
      <c r="AC106" t="str">
        <f>("B393")</f>
        <v>B393</v>
      </c>
      <c r="AE106" t="str">
        <f t="shared" si="36"/>
        <v>c.1</v>
      </c>
      <c r="AF106" t="str">
        <f t="shared" si="40"/>
        <v>1.可借圖書</v>
      </c>
      <c r="AG106" t="str">
        <f t="shared" si="41"/>
        <v>在架</v>
      </c>
      <c r="AI106" t="s">
        <v>65</v>
      </c>
      <c r="AK106" t="str">
        <f t="shared" si="34"/>
        <v>一般(Normal)</v>
      </c>
      <c r="AO106" t="s">
        <v>65</v>
      </c>
      <c r="AS106" t="str">
        <f>("c2001. ")</f>
        <v xml:space="preserve">c2001. </v>
      </c>
      <c r="AT106" t="str">
        <f t="shared" si="35"/>
        <v>catc</v>
      </c>
    </row>
    <row r="107" spans="1:46" x14ac:dyDescent="0.25">
      <c r="A107">
        <v>96</v>
      </c>
      <c r="B107" t="str">
        <f>("289027")</f>
        <v>289027</v>
      </c>
      <c r="C107" t="str">
        <f>("W00002132")</f>
        <v>W00002132</v>
      </c>
      <c r="D107" t="str">
        <f>("New service development :creating memorable experiences /")</f>
        <v>New service development :creating memorable experiences /</v>
      </c>
      <c r="E107" t="str">
        <f>("Fitzsimmons, James A.")</f>
        <v>Fitzsimmons, James A.</v>
      </c>
      <c r="F107" t="str">
        <f>("Sage Publications,")</f>
        <v>Sage Publications,</v>
      </c>
      <c r="H107" t="str">
        <f t="shared" si="37"/>
        <v>圖書 book</v>
      </c>
      <c r="I107" t="str">
        <f>("HD9980.5 F562-3 2000")</f>
        <v>HD9980.5 F562-3 2000</v>
      </c>
      <c r="J107" t="str">
        <f>("076191742X")</f>
        <v>076191742X</v>
      </c>
      <c r="K107" t="str">
        <f>("1012")</f>
        <v>1012</v>
      </c>
      <c r="L107" t="str">
        <f t="shared" si="31"/>
        <v>2001/10/10 00:00:00</v>
      </c>
      <c r="M107" t="str">
        <f>("2018/08/11 13:33:54")</f>
        <v>2018/08/11 13:33:54</v>
      </c>
      <c r="N107" t="str">
        <f>("2000")</f>
        <v>2000</v>
      </c>
      <c r="O107" t="str">
        <f t="shared" si="39"/>
        <v>4F西文書庫 4F Western Language Books</v>
      </c>
      <c r="P107" t="s">
        <v>64</v>
      </c>
      <c r="W107" t="str">
        <f t="shared" si="32"/>
        <v>美國國會圖書分類法</v>
      </c>
      <c r="Y107" t="str">
        <f>("HD9980.5")</f>
        <v>HD9980.5</v>
      </c>
      <c r="Z107" t="str">
        <f>("2018/08/11 13:33:54")</f>
        <v>2018/08/11 13:33:54</v>
      </c>
      <c r="AA107" t="str">
        <f t="shared" si="33"/>
        <v>catc</v>
      </c>
      <c r="AC107" t="str">
        <f>("F562-3")</f>
        <v>F562-3</v>
      </c>
      <c r="AE107" t="str">
        <f t="shared" si="36"/>
        <v>c.1</v>
      </c>
      <c r="AF107" t="str">
        <f t="shared" si="40"/>
        <v>1.可借圖書</v>
      </c>
      <c r="AG107" t="str">
        <f t="shared" si="41"/>
        <v>在架</v>
      </c>
      <c r="AI107" t="s">
        <v>65</v>
      </c>
      <c r="AK107" t="str">
        <f t="shared" si="34"/>
        <v>一般(Normal)</v>
      </c>
      <c r="AO107" t="s">
        <v>65</v>
      </c>
      <c r="AS107" t="str">
        <f>("c2000. ")</f>
        <v xml:space="preserve">c2000. </v>
      </c>
      <c r="AT107" t="str">
        <f t="shared" si="35"/>
        <v>catc</v>
      </c>
    </row>
    <row r="108" spans="1:46" x14ac:dyDescent="0.25">
      <c r="A108">
        <v>97</v>
      </c>
      <c r="B108" t="str">
        <f>("289028")</f>
        <v>289028</v>
      </c>
      <c r="C108" t="str">
        <f>("W00002133")</f>
        <v>W00002133</v>
      </c>
      <c r="D108" t="str">
        <f>("More games teams play :activities and games for powering up your team's potential /")</f>
        <v>More games teams play :activities and games for powering up your team's potential /</v>
      </c>
      <c r="E108" t="str">
        <f>("Bendaly, Leslie ")</f>
        <v xml:space="preserve">Bendaly, Leslie </v>
      </c>
      <c r="F108" t="str">
        <f>("McGraw-Hill Ryerson,")</f>
        <v>McGraw-Hill Ryerson,</v>
      </c>
      <c r="H108" t="str">
        <f t="shared" si="37"/>
        <v>圖書 book</v>
      </c>
      <c r="I108" t="str">
        <f>("HD66 B458 2000")</f>
        <v>HD66 B458 2000</v>
      </c>
      <c r="J108" t="str">
        <f>("0075609398")</f>
        <v>0075609398</v>
      </c>
      <c r="K108" t="str">
        <f>("980")</f>
        <v>980</v>
      </c>
      <c r="L108" t="str">
        <f t="shared" si="31"/>
        <v>2001/10/10 00:00:00</v>
      </c>
      <c r="M108" t="str">
        <f t="shared" ref="M108:M119" si="45">("2018/08/11 13:33:55")</f>
        <v>2018/08/11 13:33:55</v>
      </c>
      <c r="N108" t="str">
        <f>("2000")</f>
        <v>2000</v>
      </c>
      <c r="O108" t="str">
        <f t="shared" si="39"/>
        <v>4F西文書庫 4F Western Language Books</v>
      </c>
      <c r="P108" t="s">
        <v>64</v>
      </c>
      <c r="S108" t="str">
        <f>("xix, 351 p. :")</f>
        <v>xix, 351 p. :</v>
      </c>
      <c r="T108" t="str">
        <f>("ill. ;")</f>
        <v>ill. ;</v>
      </c>
      <c r="U108" t="str">
        <f>("28-30 cm ")</f>
        <v xml:space="preserve">28-30 cm </v>
      </c>
      <c r="W108" t="str">
        <f t="shared" ref="W108:W141" si="46">("美國國會圖書分類法")</f>
        <v>美國國會圖書分類法</v>
      </c>
      <c r="Y108" t="str">
        <f>("HD66")</f>
        <v>HD66</v>
      </c>
      <c r="Z108" t="str">
        <f>("2018/08/11 13:33:54")</f>
        <v>2018/08/11 13:33:54</v>
      </c>
      <c r="AA108" t="str">
        <f t="shared" si="33"/>
        <v>catc</v>
      </c>
      <c r="AC108" t="str">
        <f>("B458")</f>
        <v>B458</v>
      </c>
      <c r="AE108" t="str">
        <f t="shared" si="36"/>
        <v>c.1</v>
      </c>
      <c r="AF108" t="str">
        <f t="shared" si="40"/>
        <v>1.可借圖書</v>
      </c>
      <c r="AG108" t="str">
        <f t="shared" si="41"/>
        <v>在架</v>
      </c>
      <c r="AI108" t="s">
        <v>65</v>
      </c>
      <c r="AK108" t="str">
        <f t="shared" si="34"/>
        <v>一般(Normal)</v>
      </c>
      <c r="AO108" t="s">
        <v>65</v>
      </c>
      <c r="AS108" t="str">
        <f>("c2000 ")</f>
        <v xml:space="preserve">c2000 </v>
      </c>
      <c r="AT108" t="str">
        <f t="shared" si="35"/>
        <v>catc</v>
      </c>
    </row>
    <row r="109" spans="1:46" x14ac:dyDescent="0.25">
      <c r="A109">
        <v>98</v>
      </c>
      <c r="B109" t="str">
        <f>("289029")</f>
        <v>289029</v>
      </c>
      <c r="C109" t="str">
        <f>("W00002134")</f>
        <v>W00002134</v>
      </c>
      <c r="D109" t="str">
        <f>("Working across cultures :applications and exercises /")</f>
        <v>Working across cultures :applications and exercises /</v>
      </c>
      <c r="E109" t="str">
        <f>("Gannon, Martin J. ")</f>
        <v xml:space="preserve">Gannon, Martin J. </v>
      </c>
      <c r="F109" t="str">
        <f>("Sage Publications,")</f>
        <v>Sage Publications,</v>
      </c>
      <c r="H109" t="str">
        <f t="shared" si="37"/>
        <v>圖書 book</v>
      </c>
      <c r="I109" t="str">
        <f>("HM623 G198 2001")</f>
        <v>HM623 G198 2001</v>
      </c>
      <c r="J109" t="str">
        <f>("0761913386")</f>
        <v>0761913386</v>
      </c>
      <c r="K109" t="str">
        <f>("572")</f>
        <v>572</v>
      </c>
      <c r="L109" t="str">
        <f t="shared" si="31"/>
        <v>2001/10/10 00:00:00</v>
      </c>
      <c r="M109" t="str">
        <f t="shared" si="45"/>
        <v>2018/08/11 13:33:55</v>
      </c>
      <c r="N109" t="str">
        <f>("2001")</f>
        <v>2001</v>
      </c>
      <c r="O109" t="str">
        <f t="shared" si="39"/>
        <v>4F西文書庫 4F Western Language Books</v>
      </c>
      <c r="P109" t="s">
        <v>64</v>
      </c>
      <c r="W109" t="str">
        <f t="shared" si="46"/>
        <v>美國國會圖書分類法</v>
      </c>
      <c r="Y109" t="str">
        <f>("HM623")</f>
        <v>HM623</v>
      </c>
      <c r="Z109" t="str">
        <f t="shared" ref="Z109:Z120" si="47">("2018/08/11 13:33:55")</f>
        <v>2018/08/11 13:33:55</v>
      </c>
      <c r="AA109" t="str">
        <f t="shared" si="33"/>
        <v>catc</v>
      </c>
      <c r="AC109" t="str">
        <f>("G198")</f>
        <v>G198</v>
      </c>
      <c r="AE109" t="str">
        <f t="shared" si="36"/>
        <v>c.1</v>
      </c>
      <c r="AF109" t="str">
        <f t="shared" si="40"/>
        <v>1.可借圖書</v>
      </c>
      <c r="AG109" t="str">
        <f t="shared" si="41"/>
        <v>在架</v>
      </c>
      <c r="AI109" t="s">
        <v>65</v>
      </c>
      <c r="AK109" t="str">
        <f t="shared" si="34"/>
        <v>一般(Normal)</v>
      </c>
      <c r="AO109" t="s">
        <v>65</v>
      </c>
      <c r="AS109" t="str">
        <f>("c2001. ")</f>
        <v xml:space="preserve">c2001. </v>
      </c>
      <c r="AT109" t="str">
        <f t="shared" si="35"/>
        <v>catc</v>
      </c>
    </row>
    <row r="110" spans="1:46" x14ac:dyDescent="0.25">
      <c r="A110">
        <v>99</v>
      </c>
      <c r="B110" t="str">
        <f>("289030")</f>
        <v>289030</v>
      </c>
      <c r="C110" t="str">
        <f>("W00002135")</f>
        <v>W00002135</v>
      </c>
      <c r="D110" t="str">
        <f>("Business and financial statistics using Minitab 12 and Microsoft Excel 97 /")</f>
        <v>Business and financial statistics using Minitab 12 and Microsoft Excel 97 /</v>
      </c>
      <c r="E110" t="str">
        <f>("Lee, John C.")</f>
        <v>Lee, John C.</v>
      </c>
      <c r="F110" t="str">
        <f>("World Scientific,")</f>
        <v>World Scientific,</v>
      </c>
      <c r="H110" t="str">
        <f t="shared" si="37"/>
        <v>圖書 book</v>
      </c>
      <c r="I110" t="str">
        <f>("HF1017 L477:2 2000")</f>
        <v>HF1017 L477:2 2000</v>
      </c>
      <c r="J110" t="str">
        <f>("9810238797")</f>
        <v>9810238797</v>
      </c>
      <c r="K110" t="str">
        <f>("1156")</f>
        <v>1156</v>
      </c>
      <c r="L110" t="str">
        <f t="shared" si="31"/>
        <v>2001/10/10 00:00:00</v>
      </c>
      <c r="M110" t="str">
        <f t="shared" si="45"/>
        <v>2018/08/11 13:33:55</v>
      </c>
      <c r="N110" t="str">
        <f>("2000")</f>
        <v>2000</v>
      </c>
      <c r="O110" t="str">
        <f t="shared" si="39"/>
        <v>4F西文書庫 4F Western Language Books</v>
      </c>
      <c r="P110" t="s">
        <v>64</v>
      </c>
      <c r="W110" t="str">
        <f t="shared" si="46"/>
        <v>美國國會圖書分類法</v>
      </c>
      <c r="Y110" t="str">
        <f>("HF1017")</f>
        <v>HF1017</v>
      </c>
      <c r="Z110" t="str">
        <f t="shared" si="47"/>
        <v>2018/08/11 13:33:55</v>
      </c>
      <c r="AA110" t="str">
        <f t="shared" si="33"/>
        <v>catc</v>
      </c>
      <c r="AC110" t="str">
        <f>("L477:2")</f>
        <v>L477:2</v>
      </c>
      <c r="AE110" t="str">
        <f t="shared" si="36"/>
        <v>c.1</v>
      </c>
      <c r="AF110" t="str">
        <f t="shared" si="40"/>
        <v>1.可借圖書</v>
      </c>
      <c r="AG110" t="str">
        <f t="shared" si="41"/>
        <v>在架</v>
      </c>
      <c r="AI110" t="s">
        <v>65</v>
      </c>
      <c r="AK110" t="str">
        <f t="shared" si="34"/>
        <v>一般(Normal)</v>
      </c>
      <c r="AO110" t="s">
        <v>65</v>
      </c>
      <c r="AS110" t="str">
        <f>("c2000.")</f>
        <v>c2000.</v>
      </c>
      <c r="AT110" t="str">
        <f t="shared" si="35"/>
        <v>catc</v>
      </c>
    </row>
    <row r="111" spans="1:46" x14ac:dyDescent="0.25">
      <c r="A111">
        <v>100</v>
      </c>
      <c r="B111" t="str">
        <f>("289031")</f>
        <v>289031</v>
      </c>
      <c r="C111" t="str">
        <f>("W00002136")</f>
        <v>W00002136</v>
      </c>
      <c r="D111" t="str">
        <f>("Study guide for statistics for business and financial economic/")</f>
        <v>Study guide for statistics for business and financial economic/</v>
      </c>
      <c r="E111" t="str">
        <f>("Lee,Cheng F.")</f>
        <v>Lee,Cheng F.</v>
      </c>
      <c r="F111" t="str">
        <f>("World Scientific,")</f>
        <v>World Scientific,</v>
      </c>
      <c r="G111" t="str">
        <f>("2n. ed.")</f>
        <v>2n. ed.</v>
      </c>
      <c r="H111" t="str">
        <f t="shared" si="37"/>
        <v>圖書 book</v>
      </c>
      <c r="I111" t="str">
        <f>("HF1017 L477-2 2000")</f>
        <v>HF1017 L477-2 2000</v>
      </c>
      <c r="J111" t="str">
        <f>("9810238312")</f>
        <v>9810238312</v>
      </c>
      <c r="K111" t="str">
        <f>("852")</f>
        <v>852</v>
      </c>
      <c r="L111" t="str">
        <f t="shared" si="31"/>
        <v>2001/10/10 00:00:00</v>
      </c>
      <c r="M111" t="str">
        <f t="shared" si="45"/>
        <v>2018/08/11 13:33:55</v>
      </c>
      <c r="N111" t="str">
        <f>("2000")</f>
        <v>2000</v>
      </c>
      <c r="O111" t="str">
        <f t="shared" si="39"/>
        <v>4F西文書庫 4F Western Language Books</v>
      </c>
      <c r="P111" t="s">
        <v>64</v>
      </c>
      <c r="W111" t="str">
        <f t="shared" si="46"/>
        <v>美國國會圖書分類法</v>
      </c>
      <c r="Y111" t="str">
        <f>("HF1017")</f>
        <v>HF1017</v>
      </c>
      <c r="Z111" t="str">
        <f t="shared" si="47"/>
        <v>2018/08/11 13:33:55</v>
      </c>
      <c r="AA111" t="str">
        <f t="shared" si="33"/>
        <v>catc</v>
      </c>
      <c r="AC111" t="str">
        <f>("L477-2")</f>
        <v>L477-2</v>
      </c>
      <c r="AE111" t="str">
        <f t="shared" si="36"/>
        <v>c.1</v>
      </c>
      <c r="AF111" t="str">
        <f t="shared" si="40"/>
        <v>1.可借圖書</v>
      </c>
      <c r="AG111" t="str">
        <f t="shared" si="41"/>
        <v>在架</v>
      </c>
      <c r="AI111" t="s">
        <v>65</v>
      </c>
      <c r="AK111" t="str">
        <f t="shared" si="34"/>
        <v>一般(Normal)</v>
      </c>
      <c r="AO111" t="s">
        <v>65</v>
      </c>
      <c r="AS111" t="str">
        <f>("c2000.")</f>
        <v>c2000.</v>
      </c>
      <c r="AT111" t="str">
        <f t="shared" si="35"/>
        <v>catc</v>
      </c>
    </row>
    <row r="112" spans="1:46" x14ac:dyDescent="0.25">
      <c r="A112">
        <v>101</v>
      </c>
      <c r="B112" t="str">
        <f>("289032")</f>
        <v>289032</v>
      </c>
      <c r="C112" t="str">
        <f>("W00002137")</f>
        <v>W00002137</v>
      </c>
      <c r="D112" t="str">
        <f>("International business :global competition from a European perspective /")</f>
        <v>International business :global competition from a European perspective /</v>
      </c>
      <c r="E112" t="str">
        <f>("Dalkiran, Ertugrul. ;Elsey, Ena. ")</f>
        <v xml:space="preserve">Dalkiran, Ertugrul. ;Elsey, Ena. </v>
      </c>
      <c r="F112" t="str">
        <f>("Oxford University Press,")</f>
        <v>Oxford University Press,</v>
      </c>
      <c r="H112" t="str">
        <f t="shared" si="37"/>
        <v>圖書 book</v>
      </c>
      <c r="I112" t="str">
        <f>("HD2755.5 H318 2000")</f>
        <v>HD2755.5 H318 2000</v>
      </c>
      <c r="J112" t="str">
        <f>("0198782136")</f>
        <v>0198782136</v>
      </c>
      <c r="K112" t="str">
        <f>("1012")</f>
        <v>1012</v>
      </c>
      <c r="L112" t="str">
        <f t="shared" si="31"/>
        <v>2001/10/10 00:00:00</v>
      </c>
      <c r="M112" t="str">
        <f t="shared" si="45"/>
        <v>2018/08/11 13:33:55</v>
      </c>
      <c r="N112" t="str">
        <f>("2000")</f>
        <v>2000</v>
      </c>
      <c r="O112" t="str">
        <f t="shared" si="39"/>
        <v>4F西文書庫 4F Western Language Books</v>
      </c>
      <c r="P112" t="s">
        <v>64</v>
      </c>
      <c r="W112" t="str">
        <f t="shared" si="46"/>
        <v>美國國會圖書分類法</v>
      </c>
      <c r="Y112" t="str">
        <f>("HD2755.5")</f>
        <v>HD2755.5</v>
      </c>
      <c r="Z112" t="str">
        <f t="shared" si="47"/>
        <v>2018/08/11 13:33:55</v>
      </c>
      <c r="AA112" t="str">
        <f t="shared" si="33"/>
        <v>catc</v>
      </c>
      <c r="AC112" t="str">
        <f>("H318")</f>
        <v>H318</v>
      </c>
      <c r="AE112" t="str">
        <f t="shared" si="36"/>
        <v>c.1</v>
      </c>
      <c r="AF112" t="str">
        <f t="shared" si="40"/>
        <v>1.可借圖書</v>
      </c>
      <c r="AG112" t="str">
        <f t="shared" si="41"/>
        <v>在架</v>
      </c>
      <c r="AI112" t="s">
        <v>65</v>
      </c>
      <c r="AK112" t="str">
        <f t="shared" si="34"/>
        <v>一般(Normal)</v>
      </c>
      <c r="AO112" t="s">
        <v>65</v>
      </c>
      <c r="AS112" t="str">
        <f>("2000. ")</f>
        <v xml:space="preserve">2000. </v>
      </c>
      <c r="AT112" t="str">
        <f t="shared" si="35"/>
        <v>catc</v>
      </c>
    </row>
    <row r="113" spans="1:46" x14ac:dyDescent="0.25">
      <c r="A113">
        <v>102</v>
      </c>
      <c r="B113" t="str">
        <f>("289033")</f>
        <v>289033</v>
      </c>
      <c r="C113" t="str">
        <f>("W00002138")</f>
        <v>W00002138</v>
      </c>
      <c r="D113" t="str">
        <f>("Top secret executive resumes /")</f>
        <v>Top secret executive resumes /</v>
      </c>
      <c r="E113" t="str">
        <f>("Provenzano, Steven. ")</f>
        <v xml:space="preserve">Provenzano, Steven. </v>
      </c>
      <c r="F113" t="str">
        <f>("Career Press,")</f>
        <v>Career Press,</v>
      </c>
      <c r="H113" t="str">
        <f t="shared" si="37"/>
        <v>圖書 book</v>
      </c>
      <c r="I113" t="str">
        <f>("HF5383 P969 2000")</f>
        <v>HF5383 P969 2000</v>
      </c>
      <c r="J113" t="str">
        <f>("1564144313")</f>
        <v>1564144313</v>
      </c>
      <c r="K113" t="str">
        <f>("444")</f>
        <v>444</v>
      </c>
      <c r="L113" t="str">
        <f t="shared" si="31"/>
        <v>2001/10/10 00:00:00</v>
      </c>
      <c r="M113" t="str">
        <f t="shared" si="45"/>
        <v>2018/08/11 13:33:55</v>
      </c>
      <c r="N113" t="str">
        <f>("2000")</f>
        <v>2000</v>
      </c>
      <c r="O113" t="str">
        <f t="shared" si="39"/>
        <v>4F西文書庫 4F Western Language Books</v>
      </c>
      <c r="P113" t="s">
        <v>64</v>
      </c>
      <c r="W113" t="str">
        <f t="shared" si="46"/>
        <v>美國國會圖書分類法</v>
      </c>
      <c r="Y113" t="str">
        <f>("HF5383")</f>
        <v>HF5383</v>
      </c>
      <c r="Z113" t="str">
        <f t="shared" si="47"/>
        <v>2018/08/11 13:33:55</v>
      </c>
      <c r="AA113" t="str">
        <f t="shared" si="33"/>
        <v>catc</v>
      </c>
      <c r="AC113" t="str">
        <f>("P969")</f>
        <v>P969</v>
      </c>
      <c r="AE113" t="str">
        <f t="shared" si="36"/>
        <v>c.1</v>
      </c>
      <c r="AF113" t="str">
        <f t="shared" si="40"/>
        <v>1.可借圖書</v>
      </c>
      <c r="AG113" t="str">
        <f t="shared" si="41"/>
        <v>在架</v>
      </c>
      <c r="AI113" t="s">
        <v>65</v>
      </c>
      <c r="AK113" t="str">
        <f t="shared" si="34"/>
        <v>一般(Normal)</v>
      </c>
      <c r="AO113" t="s">
        <v>65</v>
      </c>
      <c r="AS113" t="str">
        <f>("2000. ")</f>
        <v xml:space="preserve">2000. </v>
      </c>
      <c r="AT113" t="str">
        <f t="shared" si="35"/>
        <v>catc</v>
      </c>
    </row>
    <row r="114" spans="1:46" x14ac:dyDescent="0.25">
      <c r="A114">
        <v>103</v>
      </c>
      <c r="B114" t="str">
        <f>("289034")</f>
        <v>289034</v>
      </c>
      <c r="C114" t="str">
        <f>("W00002139")</f>
        <v>W00002139</v>
      </c>
      <c r="D114" t="str">
        <f>("Mosby's ACE--behavioral science / ")</f>
        <v xml:space="preserve">Mosby's ACE--behavioral science / </v>
      </c>
      <c r="E114" t="str">
        <f>("Cody, Steven. ")</f>
        <v xml:space="preserve">Cody, Steven. </v>
      </c>
      <c r="F114" t="str">
        <f>("Mosby, ")</f>
        <v xml:space="preserve">Mosby, </v>
      </c>
      <c r="G114" t="str">
        <f>("1st ed. ")</f>
        <v xml:space="preserve">1st ed. </v>
      </c>
      <c r="H114" t="str">
        <f t="shared" si="37"/>
        <v>圖書 book</v>
      </c>
      <c r="I114" t="str">
        <f>("R726.5 C669 1996")</f>
        <v>R726.5 C669 1996</v>
      </c>
      <c r="J114" t="str">
        <f>("0815118449")</f>
        <v>0815118449</v>
      </c>
      <c r="K114" t="str">
        <f>("816")</f>
        <v>816</v>
      </c>
      <c r="L114" t="str">
        <f t="shared" si="31"/>
        <v>2001/10/10 00:00:00</v>
      </c>
      <c r="M114" t="str">
        <f t="shared" si="45"/>
        <v>2018/08/11 13:33:55</v>
      </c>
      <c r="N114" t="str">
        <f>("1996")</f>
        <v>1996</v>
      </c>
      <c r="O114" t="str">
        <f t="shared" si="39"/>
        <v>4F西文書庫 4F Western Language Books</v>
      </c>
      <c r="P114" t="s">
        <v>64</v>
      </c>
      <c r="W114" t="str">
        <f t="shared" si="46"/>
        <v>美國國會圖書分類法</v>
      </c>
      <c r="Y114" t="str">
        <f>("R726.5")</f>
        <v>R726.5</v>
      </c>
      <c r="Z114" t="str">
        <f t="shared" si="47"/>
        <v>2018/08/11 13:33:55</v>
      </c>
      <c r="AA114" t="str">
        <f t="shared" si="33"/>
        <v>catc</v>
      </c>
      <c r="AC114" t="str">
        <f>("C669")</f>
        <v>C669</v>
      </c>
      <c r="AE114" t="str">
        <f t="shared" ref="AE114:AE145" si="48">("c.1")</f>
        <v>c.1</v>
      </c>
      <c r="AF114" t="str">
        <f t="shared" si="40"/>
        <v>1.可借圖書</v>
      </c>
      <c r="AG114" t="str">
        <f t="shared" si="41"/>
        <v>在架</v>
      </c>
      <c r="AI114" t="s">
        <v>65</v>
      </c>
      <c r="AK114" t="str">
        <f t="shared" si="34"/>
        <v>一般(Normal)</v>
      </c>
      <c r="AO114" t="s">
        <v>65</v>
      </c>
      <c r="AS114" t="str">
        <f>("c1996. ")</f>
        <v xml:space="preserve">c1996. </v>
      </c>
      <c r="AT114" t="str">
        <f t="shared" si="35"/>
        <v>catc</v>
      </c>
    </row>
    <row r="115" spans="1:46" x14ac:dyDescent="0.25">
      <c r="A115">
        <v>104</v>
      </c>
      <c r="B115" t="str">
        <f>("289013")</f>
        <v>289013</v>
      </c>
      <c r="C115" t="str">
        <f>("W00002140")</f>
        <v>W00002140</v>
      </c>
      <c r="D115" t="str">
        <f>("Community care for health professionals / ")</f>
        <v xml:space="preserve">Community care for health professionals / </v>
      </c>
      <c r="E115" t="str">
        <f>("Compton,Ann ")</f>
        <v xml:space="preserve">Compton,Ann </v>
      </c>
      <c r="F115" t="str">
        <f>(" Butterworth-Heinemann, ")</f>
        <v xml:space="preserve"> Butterworth-Heinemann, </v>
      </c>
      <c r="G115" t="str">
        <f>("2nd ed. ")</f>
        <v xml:space="preserve">2nd ed. </v>
      </c>
      <c r="H115" t="str">
        <f t="shared" si="37"/>
        <v>圖書 book</v>
      </c>
      <c r="I115" t="str">
        <f>("RA425 C738 2000")</f>
        <v>RA425 C738 2000</v>
      </c>
      <c r="J115" t="str">
        <f>("0750632909")</f>
        <v>0750632909</v>
      </c>
      <c r="K115" t="str">
        <f>("976")</f>
        <v>976</v>
      </c>
      <c r="L115" t="str">
        <f t="shared" si="31"/>
        <v>2001/10/10 00:00:00</v>
      </c>
      <c r="M115" t="str">
        <f t="shared" si="45"/>
        <v>2018/08/11 13:33:55</v>
      </c>
      <c r="N115" t="str">
        <f>("2000")</f>
        <v>2000</v>
      </c>
      <c r="O115" t="str">
        <f t="shared" si="39"/>
        <v>4F西文書庫 4F Western Language Books</v>
      </c>
      <c r="P115" t="s">
        <v>64</v>
      </c>
      <c r="W115" t="str">
        <f t="shared" si="46"/>
        <v>美國國會圖書分類法</v>
      </c>
      <c r="Y115" t="str">
        <f>("RA425")</f>
        <v>RA425</v>
      </c>
      <c r="Z115" t="str">
        <f t="shared" si="47"/>
        <v>2018/08/11 13:33:55</v>
      </c>
      <c r="AA115" t="str">
        <f t="shared" si="33"/>
        <v>catc</v>
      </c>
      <c r="AC115" t="str">
        <f>("C738")</f>
        <v>C738</v>
      </c>
      <c r="AE115" t="str">
        <f t="shared" si="48"/>
        <v>c.1</v>
      </c>
      <c r="AF115" t="str">
        <f t="shared" si="40"/>
        <v>1.可借圖書</v>
      </c>
      <c r="AG115" t="str">
        <f t="shared" si="41"/>
        <v>在架</v>
      </c>
      <c r="AI115" t="s">
        <v>65</v>
      </c>
      <c r="AK115" t="str">
        <f t="shared" si="34"/>
        <v>一般(Normal)</v>
      </c>
      <c r="AO115" t="s">
        <v>65</v>
      </c>
      <c r="AS115" t="str">
        <f>(" 2000. ")</f>
        <v xml:space="preserve"> 2000. </v>
      </c>
      <c r="AT115" t="str">
        <f t="shared" si="35"/>
        <v>catc</v>
      </c>
    </row>
    <row r="116" spans="1:46" x14ac:dyDescent="0.25">
      <c r="A116">
        <v>105</v>
      </c>
      <c r="B116" t="str">
        <f>("289014")</f>
        <v>289014</v>
      </c>
      <c r="C116" t="str">
        <f>("W00002141")</f>
        <v>W00002141</v>
      </c>
      <c r="D116" t="str">
        <f>("World of risk : next generation strategy for a volatile era / ")</f>
        <v xml:space="preserve">World of risk : next generation strategy for a volatile era / </v>
      </c>
      <c r="E116" t="str">
        <f>("Daniell, Mark Haynes, 1955- ")</f>
        <v xml:space="preserve">Daniell, Mark Haynes, 1955- </v>
      </c>
      <c r="F116" t="str">
        <f>("John Wiley &amp; Sons (Asia), ")</f>
        <v xml:space="preserve">John Wiley &amp; Sons (Asia), </v>
      </c>
      <c r="H116" t="str">
        <f t="shared" si="37"/>
        <v>圖書 book</v>
      </c>
      <c r="I116" t="str">
        <f>("HD30.28 D185 2000")</f>
        <v>HD30.28 D185 2000</v>
      </c>
      <c r="J116" t="str">
        <f>("0471840858")</f>
        <v>0471840858</v>
      </c>
      <c r="K116" t="str">
        <f>("912")</f>
        <v>912</v>
      </c>
      <c r="L116" t="str">
        <f t="shared" si="31"/>
        <v>2001/10/10 00:00:00</v>
      </c>
      <c r="M116" t="str">
        <f t="shared" si="45"/>
        <v>2018/08/11 13:33:55</v>
      </c>
      <c r="N116" t="str">
        <f>("2000")</f>
        <v>2000</v>
      </c>
      <c r="O116" t="str">
        <f t="shared" si="39"/>
        <v>4F西文書庫 4F Western Language Books</v>
      </c>
      <c r="P116" t="s">
        <v>64</v>
      </c>
      <c r="W116" t="str">
        <f t="shared" si="46"/>
        <v>美國國會圖書分類法</v>
      </c>
      <c r="Y116" t="str">
        <f>("HD30.28")</f>
        <v>HD30.28</v>
      </c>
      <c r="Z116" t="str">
        <f t="shared" si="47"/>
        <v>2018/08/11 13:33:55</v>
      </c>
      <c r="AA116" t="str">
        <f t="shared" si="33"/>
        <v>catc</v>
      </c>
      <c r="AC116" t="str">
        <f>("D185")</f>
        <v>D185</v>
      </c>
      <c r="AE116" t="str">
        <f t="shared" si="48"/>
        <v>c.1</v>
      </c>
      <c r="AF116" t="str">
        <f t="shared" si="40"/>
        <v>1.可借圖書</v>
      </c>
      <c r="AG116" t="str">
        <f t="shared" si="41"/>
        <v>在架</v>
      </c>
      <c r="AI116" t="s">
        <v>65</v>
      </c>
      <c r="AK116" t="str">
        <f t="shared" si="34"/>
        <v>一般(Normal)</v>
      </c>
      <c r="AO116" t="s">
        <v>65</v>
      </c>
      <c r="AS116" t="str">
        <f>("2000. ")</f>
        <v xml:space="preserve">2000. </v>
      </c>
      <c r="AT116" t="str">
        <f t="shared" si="35"/>
        <v>catc</v>
      </c>
    </row>
    <row r="117" spans="1:46" x14ac:dyDescent="0.25">
      <c r="A117">
        <v>106</v>
      </c>
      <c r="B117" t="str">
        <f>("289015")</f>
        <v>289015</v>
      </c>
      <c r="C117" t="str">
        <f>("W00002142")</f>
        <v>W00002142</v>
      </c>
      <c r="D117" t="str">
        <f>("Microscopic procedures for primary care providers / ")</f>
        <v xml:space="preserve">Microscopic procedures for primary care providers / </v>
      </c>
      <c r="E117" t="str">
        <f>("Lowe, Shirley, M.T. ")</f>
        <v xml:space="preserve">Lowe, Shirley, M.T. </v>
      </c>
      <c r="F117" t="str">
        <f>("Lippincott Raven, ")</f>
        <v xml:space="preserve">Lippincott Raven, </v>
      </c>
      <c r="H117" t="str">
        <f t="shared" si="37"/>
        <v>圖書 book</v>
      </c>
      <c r="I117" t="str">
        <f>("RB43 L913 1999")</f>
        <v>RB43 L913 1999</v>
      </c>
      <c r="J117" t="str">
        <f>("078171432X")</f>
        <v>078171432X</v>
      </c>
      <c r="K117" t="str">
        <f>("1080")</f>
        <v>1080</v>
      </c>
      <c r="L117" t="str">
        <f t="shared" si="31"/>
        <v>2001/10/10 00:00:00</v>
      </c>
      <c r="M117" t="str">
        <f t="shared" si="45"/>
        <v>2018/08/11 13:33:55</v>
      </c>
      <c r="N117" t="str">
        <f>("1999")</f>
        <v>1999</v>
      </c>
      <c r="O117" t="str">
        <f t="shared" ref="O117:O125" si="49">("4F西文書庫 4F Western Language Books")</f>
        <v>4F西文書庫 4F Western Language Books</v>
      </c>
      <c r="P117" t="s">
        <v>64</v>
      </c>
      <c r="W117" t="str">
        <f t="shared" si="46"/>
        <v>美國國會圖書分類法</v>
      </c>
      <c r="Y117" t="str">
        <f>("RB43")</f>
        <v>RB43</v>
      </c>
      <c r="Z117" t="str">
        <f t="shared" si="47"/>
        <v>2018/08/11 13:33:55</v>
      </c>
      <c r="AA117" t="str">
        <f t="shared" si="33"/>
        <v>catc</v>
      </c>
      <c r="AC117" t="str">
        <f>("L913")</f>
        <v>L913</v>
      </c>
      <c r="AE117" t="str">
        <f t="shared" si="48"/>
        <v>c.1</v>
      </c>
      <c r="AF117" t="str">
        <f t="shared" ref="AF117:AF125" si="50">("1.可借圖書")</f>
        <v>1.可借圖書</v>
      </c>
      <c r="AG117" t="str">
        <f t="shared" ref="AG117:AG125" si="51">("在架")</f>
        <v>在架</v>
      </c>
      <c r="AI117" t="s">
        <v>65</v>
      </c>
      <c r="AK117" t="str">
        <f t="shared" si="34"/>
        <v>一般(Normal)</v>
      </c>
      <c r="AO117" t="s">
        <v>65</v>
      </c>
      <c r="AS117" t="str">
        <f>("c1999. ")</f>
        <v xml:space="preserve">c1999. </v>
      </c>
      <c r="AT117" t="str">
        <f t="shared" si="35"/>
        <v>catc</v>
      </c>
    </row>
    <row r="118" spans="1:46" x14ac:dyDescent="0.25">
      <c r="A118">
        <v>107</v>
      </c>
      <c r="B118" t="str">
        <f>("289016")</f>
        <v>289016</v>
      </c>
      <c r="C118" t="str">
        <f>("W00002143")</f>
        <v>W00002143</v>
      </c>
      <c r="D118" t="str">
        <f>("Doing management research: a comprehensive guide / ")</f>
        <v xml:space="preserve">Doing management research: a comprehensive guide / </v>
      </c>
      <c r="E118" t="str">
        <f>("Thietart,Raymond-Alain")</f>
        <v>Thietart,Raymond-Alain</v>
      </c>
      <c r="F118" t="str">
        <f>("SAGE Publications, ")</f>
        <v xml:space="preserve">SAGE Publications, </v>
      </c>
      <c r="H118" t="str">
        <f t="shared" si="37"/>
        <v>圖書 book</v>
      </c>
      <c r="I118" t="str">
        <f>("HD30.4 T428 1999")</f>
        <v>HD30.4 T428 1999</v>
      </c>
      <c r="J118" t="str">
        <f>("0761965173")</f>
        <v>0761965173</v>
      </c>
      <c r="K118" t="str">
        <f>("1056")</f>
        <v>1056</v>
      </c>
      <c r="L118" t="str">
        <f t="shared" si="31"/>
        <v>2001/10/10 00:00:00</v>
      </c>
      <c r="M118" t="str">
        <f t="shared" si="45"/>
        <v>2018/08/11 13:33:55</v>
      </c>
      <c r="N118" t="str">
        <f>("1999")</f>
        <v>1999</v>
      </c>
      <c r="O118" t="str">
        <f t="shared" si="49"/>
        <v>4F西文書庫 4F Western Language Books</v>
      </c>
      <c r="P118" t="s">
        <v>64</v>
      </c>
      <c r="W118" t="str">
        <f t="shared" si="46"/>
        <v>美國國會圖書分類法</v>
      </c>
      <c r="Y118" t="str">
        <f>("HD30.4")</f>
        <v>HD30.4</v>
      </c>
      <c r="Z118" t="str">
        <f t="shared" si="47"/>
        <v>2018/08/11 13:33:55</v>
      </c>
      <c r="AA118" t="str">
        <f t="shared" si="33"/>
        <v>catc</v>
      </c>
      <c r="AC118" t="str">
        <f>("T428")</f>
        <v>T428</v>
      </c>
      <c r="AE118" t="str">
        <f t="shared" si="48"/>
        <v>c.1</v>
      </c>
      <c r="AF118" t="str">
        <f t="shared" si="50"/>
        <v>1.可借圖書</v>
      </c>
      <c r="AG118" t="str">
        <f t="shared" si="51"/>
        <v>在架</v>
      </c>
      <c r="AI118" t="s">
        <v>65</v>
      </c>
      <c r="AK118" t="str">
        <f t="shared" si="34"/>
        <v>一般(Normal)</v>
      </c>
      <c r="AO118" t="s">
        <v>65</v>
      </c>
      <c r="AS118" t="str">
        <f>("c1999.")</f>
        <v>c1999.</v>
      </c>
      <c r="AT118" t="str">
        <f t="shared" si="35"/>
        <v>catc</v>
      </c>
    </row>
    <row r="119" spans="1:46" x14ac:dyDescent="0.25">
      <c r="A119">
        <v>108</v>
      </c>
      <c r="B119" t="str">
        <f>("289017")</f>
        <v>289017</v>
      </c>
      <c r="C119" t="str">
        <f>("W00002144")</f>
        <v>W00002144</v>
      </c>
      <c r="D119" t="str">
        <f>("Human resource strategy :formulation, implementation, and impact /")</f>
        <v>Human resource strategy :formulation, implementation, and impact /</v>
      </c>
      <c r="E119" t="str">
        <f>("Bamberger, Peter.")</f>
        <v>Bamberger, Peter.</v>
      </c>
      <c r="F119" t="str">
        <f>("Sage Pub.,")</f>
        <v>Sage Pub.,</v>
      </c>
      <c r="H119" t="str">
        <f t="shared" si="37"/>
        <v>圖書 book</v>
      </c>
      <c r="I119" t="str">
        <f>("HF5549 B199 2000")</f>
        <v>HF5549 B199 2000</v>
      </c>
      <c r="J119" t="str">
        <f>("0761914250")</f>
        <v>0761914250</v>
      </c>
      <c r="K119" t="str">
        <f>("880")</f>
        <v>880</v>
      </c>
      <c r="L119" t="str">
        <f t="shared" si="31"/>
        <v>2001/10/10 00:00:00</v>
      </c>
      <c r="M119" t="str">
        <f t="shared" si="45"/>
        <v>2018/08/11 13:33:55</v>
      </c>
      <c r="N119" t="str">
        <f>("2000")</f>
        <v>2000</v>
      </c>
      <c r="O119" t="str">
        <f t="shared" si="49"/>
        <v>4F西文書庫 4F Western Language Books</v>
      </c>
      <c r="P119" t="s">
        <v>64</v>
      </c>
      <c r="W119" t="str">
        <f t="shared" si="46"/>
        <v>美國國會圖書分類法</v>
      </c>
      <c r="Y119" t="str">
        <f>("HF5549")</f>
        <v>HF5549</v>
      </c>
      <c r="Z119" t="str">
        <f t="shared" si="47"/>
        <v>2018/08/11 13:33:55</v>
      </c>
      <c r="AA119" t="str">
        <f t="shared" si="33"/>
        <v>catc</v>
      </c>
      <c r="AC119" t="str">
        <f>("B199")</f>
        <v>B199</v>
      </c>
      <c r="AE119" t="str">
        <f t="shared" si="48"/>
        <v>c.1</v>
      </c>
      <c r="AF119" t="str">
        <f t="shared" si="50"/>
        <v>1.可借圖書</v>
      </c>
      <c r="AG119" t="str">
        <f t="shared" si="51"/>
        <v>在架</v>
      </c>
      <c r="AI119" t="s">
        <v>65</v>
      </c>
      <c r="AK119" t="str">
        <f t="shared" si="34"/>
        <v>一般(Normal)</v>
      </c>
      <c r="AO119" t="s">
        <v>65</v>
      </c>
      <c r="AS119" t="str">
        <f>("c2000.")</f>
        <v>c2000.</v>
      </c>
      <c r="AT119" t="str">
        <f t="shared" si="35"/>
        <v>catc</v>
      </c>
    </row>
    <row r="120" spans="1:46" x14ac:dyDescent="0.25">
      <c r="A120">
        <v>109</v>
      </c>
      <c r="B120" t="str">
        <f>("289018")</f>
        <v>289018</v>
      </c>
      <c r="C120" t="str">
        <f>("W00002145")</f>
        <v>W00002145</v>
      </c>
      <c r="D120" t="str">
        <f>("The seven deadly skills of management/ ")</f>
        <v xml:space="preserve">The seven deadly skills of management/ </v>
      </c>
      <c r="E120" t="str">
        <f>("Jay,Ros")</f>
        <v>Jay,Ros</v>
      </c>
      <c r="F120" t="str">
        <f>("Thomson, ")</f>
        <v xml:space="preserve">Thomson, </v>
      </c>
      <c r="H120" t="str">
        <f t="shared" si="37"/>
        <v>圖書 book</v>
      </c>
      <c r="I120" t="str">
        <f>("HD31 J42 1999")</f>
        <v>HD31 J42 1999</v>
      </c>
      <c r="J120" t="str">
        <f>("1861523726")</f>
        <v>1861523726</v>
      </c>
      <c r="K120" t="str">
        <f>("836")</f>
        <v>836</v>
      </c>
      <c r="L120" t="str">
        <f t="shared" si="31"/>
        <v>2001/10/10 00:00:00</v>
      </c>
      <c r="M120" t="str">
        <f t="shared" ref="M120:M128" si="52">("2018/08/11 13:33:56")</f>
        <v>2018/08/11 13:33:56</v>
      </c>
      <c r="N120" t="str">
        <f>("1999")</f>
        <v>1999</v>
      </c>
      <c r="O120" t="str">
        <f t="shared" si="49"/>
        <v>4F西文書庫 4F Western Language Books</v>
      </c>
      <c r="P120" t="s">
        <v>64</v>
      </c>
      <c r="W120" t="str">
        <f t="shared" si="46"/>
        <v>美國國會圖書分類法</v>
      </c>
      <c r="Y120" t="str">
        <f>("HD31")</f>
        <v>HD31</v>
      </c>
      <c r="Z120" t="str">
        <f t="shared" si="47"/>
        <v>2018/08/11 13:33:55</v>
      </c>
      <c r="AA120" t="str">
        <f t="shared" si="33"/>
        <v>catc</v>
      </c>
      <c r="AC120" t="str">
        <f>("J42")</f>
        <v>J42</v>
      </c>
      <c r="AE120" t="str">
        <f t="shared" si="48"/>
        <v>c.1</v>
      </c>
      <c r="AF120" t="str">
        <f t="shared" si="50"/>
        <v>1.可借圖書</v>
      </c>
      <c r="AG120" t="str">
        <f t="shared" si="51"/>
        <v>在架</v>
      </c>
      <c r="AI120" t="s">
        <v>65</v>
      </c>
      <c r="AK120" t="str">
        <f t="shared" si="34"/>
        <v>一般(Normal)</v>
      </c>
      <c r="AO120" t="s">
        <v>65</v>
      </c>
      <c r="AS120" t="str">
        <f>("c1999.")</f>
        <v>c1999.</v>
      </c>
      <c r="AT120" t="str">
        <f t="shared" si="35"/>
        <v>catc</v>
      </c>
    </row>
    <row r="121" spans="1:46" x14ac:dyDescent="0.25">
      <c r="A121">
        <v>110</v>
      </c>
      <c r="B121" t="str">
        <f>("289019")</f>
        <v>289019</v>
      </c>
      <c r="C121" t="str">
        <f>("W00002146")</f>
        <v>W00002146</v>
      </c>
      <c r="D121" t="str">
        <f>("Microbiology review / ")</f>
        <v xml:space="preserve">Microbiology review / </v>
      </c>
      <c r="E121" t="str">
        <f>("Walker, T. Stuart. ")</f>
        <v xml:space="preserve">Walker, T. Stuart. </v>
      </c>
      <c r="F121" t="str">
        <f>("W.B. Saunders, ")</f>
        <v xml:space="preserve">W.B. Saunders, </v>
      </c>
      <c r="G121" t="str">
        <f>("1st ed. ")</f>
        <v xml:space="preserve">1st ed. </v>
      </c>
      <c r="H121" t="str">
        <f t="shared" si="37"/>
        <v>圖書 book</v>
      </c>
      <c r="I121" t="str">
        <f>("QR41.2 W178 1999")</f>
        <v>QR41.2 W178 1999</v>
      </c>
      <c r="J121" t="str">
        <f>("0721646425")</f>
        <v>0721646425</v>
      </c>
      <c r="K121" t="str">
        <f>("544")</f>
        <v>544</v>
      </c>
      <c r="L121" t="str">
        <f t="shared" si="31"/>
        <v>2001/10/10 00:00:00</v>
      </c>
      <c r="M121" t="str">
        <f t="shared" si="52"/>
        <v>2018/08/11 13:33:56</v>
      </c>
      <c r="N121" t="str">
        <f>("1999")</f>
        <v>1999</v>
      </c>
      <c r="O121" t="str">
        <f t="shared" si="49"/>
        <v>4F西文書庫 4F Western Language Books</v>
      </c>
      <c r="P121" t="s">
        <v>64</v>
      </c>
      <c r="W121" t="str">
        <f t="shared" si="46"/>
        <v>美國國會圖書分類法</v>
      </c>
      <c r="Y121" t="str">
        <f>("QR41.2")</f>
        <v>QR41.2</v>
      </c>
      <c r="Z121" t="str">
        <f t="shared" ref="Z121:Z128" si="53">("2018/08/11 13:33:56")</f>
        <v>2018/08/11 13:33:56</v>
      </c>
      <c r="AA121" t="str">
        <f t="shared" si="33"/>
        <v>catc</v>
      </c>
      <c r="AC121" t="str">
        <f>("W178")</f>
        <v>W178</v>
      </c>
      <c r="AE121" t="str">
        <f t="shared" si="48"/>
        <v>c.1</v>
      </c>
      <c r="AF121" t="str">
        <f t="shared" si="50"/>
        <v>1.可借圖書</v>
      </c>
      <c r="AG121" t="str">
        <f t="shared" si="51"/>
        <v>在架</v>
      </c>
      <c r="AI121" t="s">
        <v>65</v>
      </c>
      <c r="AK121" t="str">
        <f t="shared" si="34"/>
        <v>一般(Normal)</v>
      </c>
      <c r="AO121" t="s">
        <v>65</v>
      </c>
      <c r="AS121" t="str">
        <f>("c1999. ")</f>
        <v xml:space="preserve">c1999. </v>
      </c>
      <c r="AT121" t="str">
        <f t="shared" si="35"/>
        <v>catc</v>
      </c>
    </row>
    <row r="122" spans="1:46" x14ac:dyDescent="0.25">
      <c r="A122">
        <v>111</v>
      </c>
      <c r="B122" t="str">
        <f>("289035")</f>
        <v>289035</v>
      </c>
      <c r="C122" t="str">
        <f>("W00002147")</f>
        <v>W00002147</v>
      </c>
      <c r="D122" t="str">
        <f>("Human adaptive strategies : ecology, culture, and politics / ")</f>
        <v xml:space="preserve">Human adaptive strategies : ecology, culture, and politics / </v>
      </c>
      <c r="E122" t="str">
        <f>("Bates, Daniel G. ")</f>
        <v xml:space="preserve">Bates, Daniel G. </v>
      </c>
      <c r="F122" t="str">
        <f>("Allyn and Bacon, ")</f>
        <v xml:space="preserve">Allyn and Bacon, </v>
      </c>
      <c r="H122" t="str">
        <f t="shared" si="37"/>
        <v>圖書 book</v>
      </c>
      <c r="I122" t="str">
        <f>("GF50 B329 1998")</f>
        <v>GF50 B329 1998</v>
      </c>
      <c r="J122" t="str">
        <f>("0205269982")</f>
        <v>0205269982</v>
      </c>
      <c r="K122" t="str">
        <f>("700")</f>
        <v>700</v>
      </c>
      <c r="L122" t="str">
        <f t="shared" si="31"/>
        <v>2001/10/10 00:00:00</v>
      </c>
      <c r="M122" t="str">
        <f t="shared" si="52"/>
        <v>2018/08/11 13:33:56</v>
      </c>
      <c r="N122" t="str">
        <f>("1998")</f>
        <v>1998</v>
      </c>
      <c r="O122" t="str">
        <f t="shared" si="49"/>
        <v>4F西文書庫 4F Western Language Books</v>
      </c>
      <c r="P122" t="s">
        <v>64</v>
      </c>
      <c r="W122" t="str">
        <f t="shared" si="46"/>
        <v>美國國會圖書分類法</v>
      </c>
      <c r="Y122" t="str">
        <f>("GF50")</f>
        <v>GF50</v>
      </c>
      <c r="Z122" t="str">
        <f t="shared" si="53"/>
        <v>2018/08/11 13:33:56</v>
      </c>
      <c r="AA122" t="str">
        <f t="shared" si="33"/>
        <v>catc</v>
      </c>
      <c r="AC122" t="str">
        <f>("B329")</f>
        <v>B329</v>
      </c>
      <c r="AE122" t="str">
        <f t="shared" si="48"/>
        <v>c.1</v>
      </c>
      <c r="AF122" t="str">
        <f t="shared" si="50"/>
        <v>1.可借圖書</v>
      </c>
      <c r="AG122" t="str">
        <f t="shared" si="51"/>
        <v>在架</v>
      </c>
      <c r="AI122" t="s">
        <v>65</v>
      </c>
      <c r="AK122" t="str">
        <f t="shared" si="34"/>
        <v>一般(Normal)</v>
      </c>
      <c r="AO122" t="s">
        <v>65</v>
      </c>
      <c r="AS122" t="str">
        <f>("c1998. ")</f>
        <v xml:space="preserve">c1998. </v>
      </c>
      <c r="AT122" t="str">
        <f t="shared" si="35"/>
        <v>catc</v>
      </c>
    </row>
    <row r="123" spans="1:46" x14ac:dyDescent="0.25">
      <c r="A123">
        <v>112</v>
      </c>
      <c r="B123" t="str">
        <f>("289020")</f>
        <v>289020</v>
      </c>
      <c r="C123" t="str">
        <f>("W00002148")</f>
        <v>W00002148</v>
      </c>
      <c r="D123" t="str">
        <f>("The human brain : in photographs and diagrams / ")</f>
        <v xml:space="preserve">The human brain : in photographs and diagrams / </v>
      </c>
      <c r="E123" t="str">
        <f>("Nolte, John. ")</f>
        <v xml:space="preserve">Nolte, John. </v>
      </c>
      <c r="F123" t="str">
        <f>("Mosby, ")</f>
        <v xml:space="preserve">Mosby, </v>
      </c>
      <c r="H123" t="str">
        <f t="shared" si="37"/>
        <v>圖書 book</v>
      </c>
      <c r="I123" t="str">
        <f>("QM451 N798 1995")</f>
        <v>QM451 N798 1995</v>
      </c>
      <c r="J123" t="str">
        <f>("0801681251")</f>
        <v>0801681251</v>
      </c>
      <c r="K123" t="str">
        <f>("980")</f>
        <v>980</v>
      </c>
      <c r="L123" t="str">
        <f t="shared" si="31"/>
        <v>2001/10/10 00:00:00</v>
      </c>
      <c r="M123" t="str">
        <f t="shared" si="52"/>
        <v>2018/08/11 13:33:56</v>
      </c>
      <c r="N123" t="str">
        <f>("1995")</f>
        <v>1995</v>
      </c>
      <c r="O123" t="str">
        <f t="shared" si="49"/>
        <v>4F西文書庫 4F Western Language Books</v>
      </c>
      <c r="P123" t="s">
        <v>64</v>
      </c>
      <c r="W123" t="str">
        <f t="shared" si="46"/>
        <v>美國國會圖書分類法</v>
      </c>
      <c r="Y123" t="str">
        <f>("QM451")</f>
        <v>QM451</v>
      </c>
      <c r="Z123" t="str">
        <f t="shared" si="53"/>
        <v>2018/08/11 13:33:56</v>
      </c>
      <c r="AA123" t="str">
        <f t="shared" si="33"/>
        <v>catc</v>
      </c>
      <c r="AC123" t="str">
        <f>("N798")</f>
        <v>N798</v>
      </c>
      <c r="AE123" t="str">
        <f t="shared" si="48"/>
        <v>c.1</v>
      </c>
      <c r="AF123" t="str">
        <f t="shared" si="50"/>
        <v>1.可借圖書</v>
      </c>
      <c r="AG123" t="str">
        <f t="shared" si="51"/>
        <v>在架</v>
      </c>
      <c r="AI123" t="s">
        <v>65</v>
      </c>
      <c r="AK123" t="str">
        <f t="shared" si="34"/>
        <v>一般(Normal)</v>
      </c>
      <c r="AO123" t="s">
        <v>65</v>
      </c>
      <c r="AS123" t="str">
        <f>("c1995. ")</f>
        <v xml:space="preserve">c1995. </v>
      </c>
      <c r="AT123" t="str">
        <f t="shared" si="35"/>
        <v>catc</v>
      </c>
    </row>
    <row r="124" spans="1:46" x14ac:dyDescent="0.25">
      <c r="A124">
        <v>113</v>
      </c>
      <c r="B124" t="str">
        <f>("289041")</f>
        <v>289041</v>
      </c>
      <c r="C124" t="str">
        <f>("W00002149")</f>
        <v>W00002149</v>
      </c>
      <c r="D124" t="str">
        <f>("Mosby's ACE anatomy / ")</f>
        <v xml:space="preserve">Mosby's ACE anatomy / </v>
      </c>
      <c r="E124" t="str">
        <f>("Moore, N. Anthony. ")</f>
        <v xml:space="preserve">Moore, N. Anthony. </v>
      </c>
      <c r="F124" t="str">
        <f>("Mosby, ")</f>
        <v xml:space="preserve">Mosby, </v>
      </c>
      <c r="H124" t="str">
        <f t="shared" si="37"/>
        <v>圖書 book</v>
      </c>
      <c r="I124" t="str">
        <f>("QM32 M821 1997")</f>
        <v>QM32 M821 1997</v>
      </c>
      <c r="J124" t="str">
        <f>("0815186711")</f>
        <v>0815186711</v>
      </c>
      <c r="K124" t="str">
        <f>("816")</f>
        <v>816</v>
      </c>
      <c r="L124" t="str">
        <f t="shared" si="31"/>
        <v>2001/10/10 00:00:00</v>
      </c>
      <c r="M124" t="str">
        <f t="shared" si="52"/>
        <v>2018/08/11 13:33:56</v>
      </c>
      <c r="N124" t="str">
        <f>("1997")</f>
        <v>1997</v>
      </c>
      <c r="O124" t="str">
        <f t="shared" si="49"/>
        <v>4F西文書庫 4F Western Language Books</v>
      </c>
      <c r="P124" t="s">
        <v>64</v>
      </c>
      <c r="W124" t="str">
        <f t="shared" si="46"/>
        <v>美國國會圖書分類法</v>
      </c>
      <c r="Y124" t="str">
        <f>("QM32")</f>
        <v>QM32</v>
      </c>
      <c r="Z124" t="str">
        <f t="shared" si="53"/>
        <v>2018/08/11 13:33:56</v>
      </c>
      <c r="AA124" t="str">
        <f t="shared" si="33"/>
        <v>catc</v>
      </c>
      <c r="AC124" t="str">
        <f>("M821")</f>
        <v>M821</v>
      </c>
      <c r="AE124" t="str">
        <f t="shared" si="48"/>
        <v>c.1</v>
      </c>
      <c r="AF124" t="str">
        <f t="shared" si="50"/>
        <v>1.可借圖書</v>
      </c>
      <c r="AG124" t="str">
        <f t="shared" si="51"/>
        <v>在架</v>
      </c>
      <c r="AI124" t="s">
        <v>65</v>
      </c>
      <c r="AK124" t="str">
        <f t="shared" si="34"/>
        <v>一般(Normal)</v>
      </c>
      <c r="AO124" t="s">
        <v>65</v>
      </c>
      <c r="AS124" t="str">
        <f>("c1997. ")</f>
        <v xml:space="preserve">c1997. </v>
      </c>
      <c r="AT124" t="str">
        <f t="shared" si="35"/>
        <v>catc</v>
      </c>
    </row>
    <row r="125" spans="1:46" x14ac:dyDescent="0.25">
      <c r="A125">
        <v>114</v>
      </c>
      <c r="B125" t="str">
        <f>("289042")</f>
        <v>289042</v>
      </c>
      <c r="C125" t="str">
        <f>("W00002150")</f>
        <v>W00002150</v>
      </c>
      <c r="D125" t="str">
        <f>("Thoughtful teachers, thoughtful schools : issues and insights in education today / ")</f>
        <v xml:space="preserve">Thoughtful teachers, thoughtful schools : issues and insights in education today / </v>
      </c>
      <c r="E125" t="str">
        <f>("Editorial Projects in Education (Firm) ")</f>
        <v xml:space="preserve">Editorial Projects in Education (Firm) </v>
      </c>
      <c r="F125" t="str">
        <f>("Allyn and Bacon, ")</f>
        <v xml:space="preserve">Allyn and Bacon, </v>
      </c>
      <c r="G125" t="str">
        <f>("3rd ed. ")</f>
        <v xml:space="preserve">3rd ed. </v>
      </c>
      <c r="H125" t="str">
        <f t="shared" si="37"/>
        <v>圖書 book</v>
      </c>
      <c r="I125" t="str">
        <f>("LA217.2 T524 1998")</f>
        <v>LA217.2 T524 1998</v>
      </c>
      <c r="J125" t="str">
        <f>("0205277063")</f>
        <v>0205277063</v>
      </c>
      <c r="K125" t="str">
        <f>("420")</f>
        <v>420</v>
      </c>
      <c r="L125" t="str">
        <f t="shared" si="31"/>
        <v>2001/10/10 00:00:00</v>
      </c>
      <c r="M125" t="str">
        <f t="shared" si="52"/>
        <v>2018/08/11 13:33:56</v>
      </c>
      <c r="N125" t="str">
        <f>("1998")</f>
        <v>1998</v>
      </c>
      <c r="O125" t="str">
        <f t="shared" si="49"/>
        <v>4F西文書庫 4F Western Language Books</v>
      </c>
      <c r="P125" t="s">
        <v>64</v>
      </c>
      <c r="W125" t="str">
        <f t="shared" si="46"/>
        <v>美國國會圖書分類法</v>
      </c>
      <c r="Y125" t="str">
        <f>("LA217.2")</f>
        <v>LA217.2</v>
      </c>
      <c r="Z125" t="str">
        <f t="shared" si="53"/>
        <v>2018/08/11 13:33:56</v>
      </c>
      <c r="AA125" t="str">
        <f t="shared" si="33"/>
        <v>catc</v>
      </c>
      <c r="AC125" t="str">
        <f>("T524")</f>
        <v>T524</v>
      </c>
      <c r="AE125" t="str">
        <f t="shared" si="48"/>
        <v>c.1</v>
      </c>
      <c r="AF125" t="str">
        <f t="shared" si="50"/>
        <v>1.可借圖書</v>
      </c>
      <c r="AG125" t="str">
        <f t="shared" si="51"/>
        <v>在架</v>
      </c>
      <c r="AI125" t="s">
        <v>65</v>
      </c>
      <c r="AK125" t="str">
        <f t="shared" si="34"/>
        <v>一般(Normal)</v>
      </c>
      <c r="AO125" t="s">
        <v>65</v>
      </c>
      <c r="AS125" t="str">
        <f>("c1998. ")</f>
        <v xml:space="preserve">c1998. </v>
      </c>
      <c r="AT125" t="str">
        <f t="shared" si="35"/>
        <v>catc</v>
      </c>
    </row>
    <row r="126" spans="1:46" x14ac:dyDescent="0.25">
      <c r="A126">
        <v>115</v>
      </c>
      <c r="B126" t="str">
        <f>("289043")</f>
        <v>289043</v>
      </c>
      <c r="C126" t="str">
        <f>("W00002151")</f>
        <v>W00002151</v>
      </c>
      <c r="D126" t="str">
        <f>("Social work practice &amp; people of color : a process-stage approach / ")</f>
        <v xml:space="preserve">Social work practice &amp; people of color : a process-stage approach / </v>
      </c>
      <c r="E126" t="str">
        <f>("Lum, Doman, 1938- ")</f>
        <v xml:space="preserve">Lum, Doman, 1938- </v>
      </c>
      <c r="F126" t="str">
        <f>("Brooks/Cole Pub. Co, ")</f>
        <v xml:space="preserve">Brooks/Cole Pub. Co, </v>
      </c>
      <c r="G126" t="str">
        <f>("3rd ed. ")</f>
        <v xml:space="preserve">3rd ed. </v>
      </c>
      <c r="H126" t="str">
        <f t="shared" si="37"/>
        <v>圖書 book</v>
      </c>
      <c r="I126" t="str">
        <f>("HV3176 L957 1996")</f>
        <v>HV3176 L957 1996</v>
      </c>
      <c r="J126" t="str">
        <f>("0534338542")</f>
        <v>0534338542</v>
      </c>
      <c r="K126" t="str">
        <f>("1240")</f>
        <v>1240</v>
      </c>
      <c r="L126" t="str">
        <f t="shared" si="31"/>
        <v>2001/10/10 00:00:00</v>
      </c>
      <c r="M126" t="str">
        <f t="shared" si="52"/>
        <v>2018/08/11 13:33:56</v>
      </c>
      <c r="N126" t="str">
        <f>("1996")</f>
        <v>1996</v>
      </c>
      <c r="O126" t="str">
        <f>("罕用書庫1-洽櫃台填單 Upon-Request Collection1 fil")</f>
        <v>罕用書庫1-洽櫃台填單 Upon-Request Collection1 fil</v>
      </c>
      <c r="P126" t="s">
        <v>64</v>
      </c>
      <c r="S126" t="str">
        <f>("xix, 304 p. : ")</f>
        <v xml:space="preserve">xix, 304 p. : </v>
      </c>
      <c r="T126" t="str">
        <f>("ill. ; ")</f>
        <v xml:space="preserve">ill. ; </v>
      </c>
      <c r="U126" t="str">
        <f>("24 cm. ")</f>
        <v xml:space="preserve">24 cm. </v>
      </c>
      <c r="W126" t="str">
        <f t="shared" si="46"/>
        <v>美國國會圖書分類法</v>
      </c>
      <c r="Y126" t="str">
        <f>("HV3176")</f>
        <v>HV3176</v>
      </c>
      <c r="Z126" t="str">
        <f t="shared" si="53"/>
        <v>2018/08/11 13:33:56</v>
      </c>
      <c r="AA126" t="str">
        <f t="shared" si="33"/>
        <v>catc</v>
      </c>
      <c r="AC126" t="str">
        <f>("L957")</f>
        <v>L957</v>
      </c>
      <c r="AE126" t="str">
        <f t="shared" si="48"/>
        <v>c.1</v>
      </c>
      <c r="AF126" t="str">
        <f>("不流通")</f>
        <v>不流通</v>
      </c>
      <c r="AG126" t="str">
        <f>("報銷中")</f>
        <v>報銷中</v>
      </c>
      <c r="AI126" t="s">
        <v>65</v>
      </c>
      <c r="AK126" t="str">
        <f t="shared" si="34"/>
        <v>一般(Normal)</v>
      </c>
      <c r="AO126" t="s">
        <v>65</v>
      </c>
      <c r="AS126" t="str">
        <f>("c1996. ")</f>
        <v xml:space="preserve">c1996. </v>
      </c>
      <c r="AT126" t="str">
        <f t="shared" si="35"/>
        <v>catc</v>
      </c>
    </row>
    <row r="127" spans="1:46" x14ac:dyDescent="0.25">
      <c r="A127">
        <v>116</v>
      </c>
      <c r="B127" t="str">
        <f>("289036")</f>
        <v>289036</v>
      </c>
      <c r="C127" t="str">
        <f>("W00002152")</f>
        <v>W00002152</v>
      </c>
      <c r="D127" t="str">
        <f>("How to survive ACLS! / ")</f>
        <v xml:space="preserve">How to survive ACLS! / </v>
      </c>
      <c r="E127" t="str">
        <f>("Doernbach, David P. ")</f>
        <v xml:space="preserve">Doernbach, David P. </v>
      </c>
      <c r="F127" t="str">
        <f>("Lippincott, ")</f>
        <v xml:space="preserve">Lippincott, </v>
      </c>
      <c r="H127" t="str">
        <f t="shared" si="37"/>
        <v>圖書 book</v>
      </c>
      <c r="I127" t="str">
        <f>("RC685.C173 D652 1998")</f>
        <v>RC685.C173 D652 1998</v>
      </c>
      <c r="J127" t="str">
        <f>("0781712025")</f>
        <v>0781712025</v>
      </c>
      <c r="K127" t="str">
        <f>("868")</f>
        <v>868</v>
      </c>
      <c r="L127" t="str">
        <f t="shared" si="31"/>
        <v>2001/10/10 00:00:00</v>
      </c>
      <c r="M127" t="str">
        <f t="shared" si="52"/>
        <v>2018/08/11 13:33:56</v>
      </c>
      <c r="N127" t="str">
        <f>("1998")</f>
        <v>1998</v>
      </c>
      <c r="O127" t="str">
        <f t="shared" ref="O127:O132" si="54">("4F西文書庫 4F Western Language Books")</f>
        <v>4F西文書庫 4F Western Language Books</v>
      </c>
      <c r="P127" t="s">
        <v>64</v>
      </c>
      <c r="W127" t="str">
        <f t="shared" si="46"/>
        <v>美國國會圖書分類法</v>
      </c>
      <c r="Y127" t="str">
        <f>("RC685.C173")</f>
        <v>RC685.C173</v>
      </c>
      <c r="Z127" t="str">
        <f t="shared" si="53"/>
        <v>2018/08/11 13:33:56</v>
      </c>
      <c r="AA127" t="str">
        <f t="shared" si="33"/>
        <v>catc</v>
      </c>
      <c r="AC127" t="str">
        <f>("D652")</f>
        <v>D652</v>
      </c>
      <c r="AE127" t="str">
        <f t="shared" si="48"/>
        <v>c.1</v>
      </c>
      <c r="AF127" t="str">
        <f t="shared" ref="AF127:AF132" si="55">("1.可借圖書")</f>
        <v>1.可借圖書</v>
      </c>
      <c r="AG127" t="str">
        <f t="shared" ref="AG127:AG132" si="56">("在架")</f>
        <v>在架</v>
      </c>
      <c r="AI127" t="s">
        <v>65</v>
      </c>
      <c r="AK127" t="str">
        <f t="shared" si="34"/>
        <v>一般(Normal)</v>
      </c>
      <c r="AO127" t="s">
        <v>65</v>
      </c>
      <c r="AS127" t="str">
        <f>("c1998. ")</f>
        <v xml:space="preserve">c1998. </v>
      </c>
      <c r="AT127" t="str">
        <f t="shared" si="35"/>
        <v>catc</v>
      </c>
    </row>
    <row r="128" spans="1:46" x14ac:dyDescent="0.25">
      <c r="A128">
        <v>117</v>
      </c>
      <c r="B128" t="str">
        <f>("289037")</f>
        <v>289037</v>
      </c>
      <c r="C128" t="str">
        <f>("W00002153")</f>
        <v>W00002153</v>
      </c>
      <c r="D128" t="str">
        <f>("Understanding and caring for human diseases / ")</f>
        <v xml:space="preserve">Understanding and caring for human diseases / </v>
      </c>
      <c r="E128" t="str">
        <f>("Borgstadt, Marcia. ")</f>
        <v xml:space="preserve">Borgstadt, Marcia. </v>
      </c>
      <c r="F128" t="str">
        <f>("Delmar Publishers, ")</f>
        <v xml:space="preserve">Delmar Publishers, </v>
      </c>
      <c r="H128" t="str">
        <f t="shared" si="37"/>
        <v>圖書 book</v>
      </c>
      <c r="I128" t="str">
        <f>("R690 B732 1997")</f>
        <v>R690 B732 1997</v>
      </c>
      <c r="J128" t="str">
        <f>("0827366051")</f>
        <v>0827366051</v>
      </c>
      <c r="K128" t="str">
        <f>("1112")</f>
        <v>1112</v>
      </c>
      <c r="L128" t="str">
        <f t="shared" si="31"/>
        <v>2001/10/10 00:00:00</v>
      </c>
      <c r="M128" t="str">
        <f t="shared" si="52"/>
        <v>2018/08/11 13:33:56</v>
      </c>
      <c r="N128" t="str">
        <f>("1997")</f>
        <v>1997</v>
      </c>
      <c r="O128" t="str">
        <f t="shared" si="54"/>
        <v>4F西文書庫 4F Western Language Books</v>
      </c>
      <c r="P128" t="s">
        <v>64</v>
      </c>
      <c r="W128" t="str">
        <f t="shared" si="46"/>
        <v>美國國會圖書分類法</v>
      </c>
      <c r="Y128" t="str">
        <f>("R690")</f>
        <v>R690</v>
      </c>
      <c r="Z128" t="str">
        <f t="shared" si="53"/>
        <v>2018/08/11 13:33:56</v>
      </c>
      <c r="AA128" t="str">
        <f t="shared" si="33"/>
        <v>catc</v>
      </c>
      <c r="AC128" t="str">
        <f>("B732")</f>
        <v>B732</v>
      </c>
      <c r="AE128" t="str">
        <f t="shared" si="48"/>
        <v>c.1</v>
      </c>
      <c r="AF128" t="str">
        <f t="shared" si="55"/>
        <v>1.可借圖書</v>
      </c>
      <c r="AG128" t="str">
        <f t="shared" si="56"/>
        <v>在架</v>
      </c>
      <c r="AI128" t="s">
        <v>65</v>
      </c>
      <c r="AK128" t="str">
        <f t="shared" si="34"/>
        <v>一般(Normal)</v>
      </c>
      <c r="AO128" t="s">
        <v>65</v>
      </c>
      <c r="AS128" t="str">
        <f>("c1996. ")</f>
        <v xml:space="preserve">c1996. </v>
      </c>
      <c r="AT128" t="str">
        <f t="shared" si="35"/>
        <v>catc</v>
      </c>
    </row>
    <row r="129" spans="1:46" x14ac:dyDescent="0.25">
      <c r="A129">
        <v>118</v>
      </c>
      <c r="B129" t="str">
        <f>("289038")</f>
        <v>289038</v>
      </c>
      <c r="C129" t="str">
        <f>("W00002154")</f>
        <v>W00002154</v>
      </c>
      <c r="D129" t="str">
        <f>("Accountable systems of behavioral health care : a provider's guide / ")</f>
        <v xml:space="preserve">Accountable systems of behavioral health care : a provider's guide / </v>
      </c>
      <c r="E129" t="str">
        <f>("Savin, Howard A., 1946- ")</f>
        <v xml:space="preserve">Savin, Howard A., 1946- </v>
      </c>
      <c r="F129" t="str">
        <f>("Jossey-Bass, ;Devereux ; ")</f>
        <v xml:space="preserve">Jossey-Bass, ;Devereux ; </v>
      </c>
      <c r="G129" t="str">
        <f>("1st ed. ")</f>
        <v xml:space="preserve">1st ed. </v>
      </c>
      <c r="H129" t="str">
        <f t="shared" si="37"/>
        <v>圖書 book</v>
      </c>
      <c r="I129" t="str">
        <f>("RA790.6 S267 2000")</f>
        <v>RA790.6 S267 2000</v>
      </c>
      <c r="J129" t="str">
        <f>("078795005X")</f>
        <v>078795005X</v>
      </c>
      <c r="K129" t="str">
        <f>("1498")</f>
        <v>1498</v>
      </c>
      <c r="L129" t="str">
        <f t="shared" si="31"/>
        <v>2001/10/10 00:00:00</v>
      </c>
      <c r="M129" t="str">
        <f t="shared" ref="M129:M138" si="57">("2018/08/11 13:33:57")</f>
        <v>2018/08/11 13:33:57</v>
      </c>
      <c r="N129" t="str">
        <f>("2000")</f>
        <v>2000</v>
      </c>
      <c r="O129" t="str">
        <f t="shared" si="54"/>
        <v>4F西文書庫 4F Western Language Books</v>
      </c>
      <c r="P129" t="s">
        <v>64</v>
      </c>
      <c r="W129" t="str">
        <f t="shared" si="46"/>
        <v>美國國會圖書分類法</v>
      </c>
      <c r="Y129" t="str">
        <f>("RA790.6")</f>
        <v>RA790.6</v>
      </c>
      <c r="Z129" t="str">
        <f t="shared" ref="Z129:Z139" si="58">("2018/08/11 13:33:57")</f>
        <v>2018/08/11 13:33:57</v>
      </c>
      <c r="AA129" t="str">
        <f t="shared" si="33"/>
        <v>catc</v>
      </c>
      <c r="AC129" t="str">
        <f>("S267")</f>
        <v>S267</v>
      </c>
      <c r="AE129" t="str">
        <f t="shared" si="48"/>
        <v>c.1</v>
      </c>
      <c r="AF129" t="str">
        <f t="shared" si="55"/>
        <v>1.可借圖書</v>
      </c>
      <c r="AG129" t="str">
        <f t="shared" si="56"/>
        <v>在架</v>
      </c>
      <c r="AI129" t="s">
        <v>65</v>
      </c>
      <c r="AK129" t="str">
        <f t="shared" si="34"/>
        <v>一般(Normal)</v>
      </c>
      <c r="AO129" t="s">
        <v>65</v>
      </c>
      <c r="AS129" t="str">
        <f>("c2000. ")</f>
        <v xml:space="preserve">c2000. </v>
      </c>
      <c r="AT129" t="str">
        <f t="shared" si="35"/>
        <v>catc</v>
      </c>
    </row>
    <row r="130" spans="1:46" x14ac:dyDescent="0.25">
      <c r="A130">
        <v>119</v>
      </c>
      <c r="B130" t="str">
        <f>("289039")</f>
        <v>289039</v>
      </c>
      <c r="C130" t="str">
        <f>("W00002155")</f>
        <v>W00002155</v>
      </c>
      <c r="D130" t="str">
        <f>("Introduction to maternal and child health nursing / ")</f>
        <v xml:space="preserve">Introduction to maternal and child health nursing / </v>
      </c>
      <c r="E130" t="str">
        <f>("Neff, M. Christine. ")</f>
        <v xml:space="preserve">Neff, M. Christine. </v>
      </c>
      <c r="F130" t="str">
        <f>("Lippincott, ")</f>
        <v xml:space="preserve">Lippincott, </v>
      </c>
      <c r="H130" t="str">
        <f t="shared" si="37"/>
        <v>圖書 book</v>
      </c>
      <c r="I130" t="str">
        <f>("RJ245 N383 1996")</f>
        <v>RJ245 N383 1996</v>
      </c>
      <c r="J130" t="str">
        <f>("0397550251")</f>
        <v>0397550251</v>
      </c>
      <c r="K130" t="str">
        <f>("1260")</f>
        <v>1260</v>
      </c>
      <c r="L130" t="str">
        <f t="shared" si="31"/>
        <v>2001/10/10 00:00:00</v>
      </c>
      <c r="M130" t="str">
        <f t="shared" si="57"/>
        <v>2018/08/11 13:33:57</v>
      </c>
      <c r="N130" t="str">
        <f>("1996")</f>
        <v>1996</v>
      </c>
      <c r="O130" t="str">
        <f t="shared" si="54"/>
        <v>4F西文書庫 4F Western Language Books</v>
      </c>
      <c r="P130" t="s">
        <v>64</v>
      </c>
      <c r="W130" t="str">
        <f t="shared" si="46"/>
        <v>美國國會圖書分類法</v>
      </c>
      <c r="Y130" t="str">
        <f>("RJ245")</f>
        <v>RJ245</v>
      </c>
      <c r="Z130" t="str">
        <f t="shared" si="58"/>
        <v>2018/08/11 13:33:57</v>
      </c>
      <c r="AA130" t="str">
        <f t="shared" si="33"/>
        <v>catc</v>
      </c>
      <c r="AC130" t="str">
        <f>("N383")</f>
        <v>N383</v>
      </c>
      <c r="AE130" t="str">
        <f t="shared" si="48"/>
        <v>c.1</v>
      </c>
      <c r="AF130" t="str">
        <f t="shared" si="55"/>
        <v>1.可借圖書</v>
      </c>
      <c r="AG130" t="str">
        <f t="shared" si="56"/>
        <v>在架</v>
      </c>
      <c r="AI130" t="s">
        <v>65</v>
      </c>
      <c r="AK130" t="str">
        <f t="shared" si="34"/>
        <v>一般(Normal)</v>
      </c>
      <c r="AO130" t="s">
        <v>65</v>
      </c>
      <c r="AS130" t="str">
        <f>("c1996. ")</f>
        <v xml:space="preserve">c1996. </v>
      </c>
      <c r="AT130" t="str">
        <f t="shared" si="35"/>
        <v>catc</v>
      </c>
    </row>
    <row r="131" spans="1:46" x14ac:dyDescent="0.25">
      <c r="A131">
        <v>120</v>
      </c>
      <c r="B131" t="str">
        <f>("289040")</f>
        <v>289040</v>
      </c>
      <c r="C131" t="str">
        <f>("W00002156")</f>
        <v>W00002156</v>
      </c>
      <c r="D131" t="str">
        <f>("Acupuncture and related techniques in physical therapy / ")</f>
        <v xml:space="preserve">Acupuncture and related techniques in physical therapy / </v>
      </c>
      <c r="E131" t="str">
        <f>("Hopwood, Val.")</f>
        <v>Hopwood, Val.</v>
      </c>
      <c r="F131" t="str">
        <f>(" Churchill Livingstone, ")</f>
        <v xml:space="preserve"> Churchill Livingstone, </v>
      </c>
      <c r="H131" t="str">
        <f t="shared" si="37"/>
        <v>圖書 book</v>
      </c>
      <c r="I131" t="str">
        <f>("RM184 H791 1997")</f>
        <v>RM184 H791 1997</v>
      </c>
      <c r="J131" t="str">
        <f>("0443055939")</f>
        <v>0443055939</v>
      </c>
      <c r="K131" t="str">
        <f>("1100")</f>
        <v>1100</v>
      </c>
      <c r="L131" t="str">
        <f t="shared" si="31"/>
        <v>2001/10/10 00:00:00</v>
      </c>
      <c r="M131" t="str">
        <f t="shared" si="57"/>
        <v>2018/08/11 13:33:57</v>
      </c>
      <c r="N131" t="str">
        <f>("1997")</f>
        <v>1997</v>
      </c>
      <c r="O131" t="str">
        <f t="shared" si="54"/>
        <v>4F西文書庫 4F Western Language Books</v>
      </c>
      <c r="P131" t="s">
        <v>64</v>
      </c>
      <c r="W131" t="str">
        <f t="shared" si="46"/>
        <v>美國國會圖書分類法</v>
      </c>
      <c r="Y131" t="str">
        <f>("RM184")</f>
        <v>RM184</v>
      </c>
      <c r="Z131" t="str">
        <f t="shared" si="58"/>
        <v>2018/08/11 13:33:57</v>
      </c>
      <c r="AA131" t="str">
        <f t="shared" si="33"/>
        <v>catc</v>
      </c>
      <c r="AC131" t="str">
        <f>("H791")</f>
        <v>H791</v>
      </c>
      <c r="AE131" t="str">
        <f t="shared" si="48"/>
        <v>c.1</v>
      </c>
      <c r="AF131" t="str">
        <f t="shared" si="55"/>
        <v>1.可借圖書</v>
      </c>
      <c r="AG131" t="str">
        <f t="shared" si="56"/>
        <v>在架</v>
      </c>
      <c r="AI131" t="s">
        <v>65</v>
      </c>
      <c r="AK131" t="str">
        <f t="shared" si="34"/>
        <v>一般(Normal)</v>
      </c>
      <c r="AO131" t="s">
        <v>65</v>
      </c>
      <c r="AS131" t="str">
        <f>(" 1997. ")</f>
        <v xml:space="preserve"> 1997. </v>
      </c>
      <c r="AT131" t="str">
        <f t="shared" si="35"/>
        <v>catc</v>
      </c>
    </row>
    <row r="132" spans="1:46" x14ac:dyDescent="0.25">
      <c r="A132">
        <v>121</v>
      </c>
      <c r="B132" t="str">
        <f>("289044")</f>
        <v>289044</v>
      </c>
      <c r="C132" t="str">
        <f>("W00002157")</f>
        <v>W00002157</v>
      </c>
      <c r="D132" t="str">
        <f>("Sociology in our times : the essentials / ")</f>
        <v xml:space="preserve">Sociology in our times : the essentials / </v>
      </c>
      <c r="E132" t="str">
        <f>("Kendall, Diana Elizabeth. ")</f>
        <v xml:space="preserve">Kendall, Diana Elizabeth. </v>
      </c>
      <c r="F132" t="str">
        <f>("Wadsworth Pub., ")</f>
        <v xml:space="preserve">Wadsworth Pub., </v>
      </c>
      <c r="H132" t="str">
        <f t="shared" si="37"/>
        <v>圖書 book</v>
      </c>
      <c r="I132" t="str">
        <f>("HM51 K33 1998")</f>
        <v>HM51 K33 1998</v>
      </c>
      <c r="J132" t="str">
        <f>("0534524796")</f>
        <v>0534524796</v>
      </c>
      <c r="K132" t="str">
        <f>("1172")</f>
        <v>1172</v>
      </c>
      <c r="L132" t="str">
        <f t="shared" si="31"/>
        <v>2001/10/10 00:00:00</v>
      </c>
      <c r="M132" t="str">
        <f t="shared" si="57"/>
        <v>2018/08/11 13:33:57</v>
      </c>
      <c r="N132" t="str">
        <f>("1998")</f>
        <v>1998</v>
      </c>
      <c r="O132" t="str">
        <f t="shared" si="54"/>
        <v>4F西文書庫 4F Western Language Books</v>
      </c>
      <c r="P132" t="s">
        <v>64</v>
      </c>
      <c r="W132" t="str">
        <f t="shared" si="46"/>
        <v>美國國會圖書分類法</v>
      </c>
      <c r="Y132" t="str">
        <f>("HM51")</f>
        <v>HM51</v>
      </c>
      <c r="Z132" t="str">
        <f t="shared" si="58"/>
        <v>2018/08/11 13:33:57</v>
      </c>
      <c r="AA132" t="str">
        <f t="shared" si="33"/>
        <v>catc</v>
      </c>
      <c r="AC132" t="str">
        <f>("K33")</f>
        <v>K33</v>
      </c>
      <c r="AE132" t="str">
        <f t="shared" si="48"/>
        <v>c.1</v>
      </c>
      <c r="AF132" t="str">
        <f t="shared" si="55"/>
        <v>1.可借圖書</v>
      </c>
      <c r="AG132" t="str">
        <f t="shared" si="56"/>
        <v>在架</v>
      </c>
      <c r="AI132" t="s">
        <v>65</v>
      </c>
      <c r="AK132" t="str">
        <f t="shared" si="34"/>
        <v>一般(Normal)</v>
      </c>
      <c r="AO132" t="s">
        <v>65</v>
      </c>
      <c r="AS132" t="str">
        <f>("c1998. ")</f>
        <v xml:space="preserve">c1998. </v>
      </c>
      <c r="AT132" t="str">
        <f t="shared" si="35"/>
        <v>catc</v>
      </c>
    </row>
    <row r="133" spans="1:46" x14ac:dyDescent="0.25">
      <c r="A133">
        <v>122</v>
      </c>
      <c r="B133" t="str">
        <f>("289045")</f>
        <v>289045</v>
      </c>
      <c r="C133" t="str">
        <f>("W00002158")</f>
        <v>W00002158</v>
      </c>
      <c r="D133" t="str">
        <f>("Psychology :  an integrated approach / ")</f>
        <v xml:space="preserve">Psychology :  an integrated approach / </v>
      </c>
      <c r="E133" t="str">
        <f>("Eysenck,Michael")</f>
        <v>Eysenck,Michael</v>
      </c>
      <c r="F133" t="str">
        <f>("Longman, ")</f>
        <v xml:space="preserve">Longman, </v>
      </c>
      <c r="H133" t="str">
        <f t="shared" si="37"/>
        <v>圖書 book</v>
      </c>
      <c r="I133" t="str">
        <f>("BF121 E97 1998")</f>
        <v>BF121 E97 1998</v>
      </c>
      <c r="J133" t="str">
        <f>("0582298849")</f>
        <v>0582298849</v>
      </c>
      <c r="K133" t="str">
        <f>("872")</f>
        <v>872</v>
      </c>
      <c r="L133" t="str">
        <f t="shared" si="31"/>
        <v>2001/10/10 00:00:00</v>
      </c>
      <c r="M133" t="str">
        <f t="shared" si="57"/>
        <v>2018/08/11 13:33:57</v>
      </c>
      <c r="N133" t="str">
        <f>("1998")</f>
        <v>1998</v>
      </c>
      <c r="O133" t="str">
        <f>("罕用書庫1-洽櫃台填單 Upon-Request Collection1 fil")</f>
        <v>罕用書庫1-洽櫃台填單 Upon-Request Collection1 fil</v>
      </c>
      <c r="P133" t="s">
        <v>64</v>
      </c>
      <c r="S133" t="str">
        <f>("829p.: ")</f>
        <v xml:space="preserve">829p.: </v>
      </c>
      <c r="T133" t="str">
        <f>("ill. ; ")</f>
        <v xml:space="preserve">ill. ; </v>
      </c>
      <c r="U133" t="str">
        <f>("25cm.")</f>
        <v>25cm.</v>
      </c>
      <c r="W133" t="str">
        <f t="shared" si="46"/>
        <v>美國國會圖書分類法</v>
      </c>
      <c r="Y133" t="str">
        <f>("BF121")</f>
        <v>BF121</v>
      </c>
      <c r="Z133" t="str">
        <f t="shared" si="58"/>
        <v>2018/08/11 13:33:57</v>
      </c>
      <c r="AA133" t="str">
        <f t="shared" si="33"/>
        <v>catc</v>
      </c>
      <c r="AC133" t="str">
        <f>("E97")</f>
        <v>E97</v>
      </c>
      <c r="AE133" t="str">
        <f t="shared" si="48"/>
        <v>c.1</v>
      </c>
      <c r="AF133" t="str">
        <f>("不流通")</f>
        <v>不流通</v>
      </c>
      <c r="AG133" t="str">
        <f>("報銷中")</f>
        <v>報銷中</v>
      </c>
      <c r="AI133" t="s">
        <v>65</v>
      </c>
      <c r="AK133" t="str">
        <f t="shared" si="34"/>
        <v>一般(Normal)</v>
      </c>
      <c r="AO133" t="s">
        <v>65</v>
      </c>
      <c r="AS133" t="str">
        <f>("c1998.")</f>
        <v>c1998.</v>
      </c>
      <c r="AT133" t="str">
        <f t="shared" si="35"/>
        <v>catc</v>
      </c>
    </row>
    <row r="134" spans="1:46" x14ac:dyDescent="0.25">
      <c r="A134">
        <v>123</v>
      </c>
      <c r="B134" t="str">
        <f>("289046")</f>
        <v>289046</v>
      </c>
      <c r="C134" t="str">
        <f>("W00002159")</f>
        <v>W00002159</v>
      </c>
      <c r="D134" t="str">
        <f>("Traumatic subarachnoid haemorrhage / ")</f>
        <v xml:space="preserve">Traumatic subarachnoid haemorrhage / </v>
      </c>
      <c r="E134" t="str">
        <f>("Kakarieka, A. ")</f>
        <v xml:space="preserve">Kakarieka, A. </v>
      </c>
      <c r="F134" t="str">
        <f>("Springer, ")</f>
        <v xml:space="preserve">Springer, </v>
      </c>
      <c r="H134" t="str">
        <f t="shared" si="37"/>
        <v>圖書 book</v>
      </c>
      <c r="I134" t="str">
        <f>("RC394.H37 K11 1997")</f>
        <v>RC394.H37 K11 1997</v>
      </c>
      <c r="J134" t="str">
        <f>("3540607714")</f>
        <v>3540607714</v>
      </c>
      <c r="K134" t="str">
        <f>("492")</f>
        <v>492</v>
      </c>
      <c r="L134" t="str">
        <f t="shared" si="31"/>
        <v>2001/10/10 00:00:00</v>
      </c>
      <c r="M134" t="str">
        <f t="shared" si="57"/>
        <v>2018/08/11 13:33:57</v>
      </c>
      <c r="N134" t="str">
        <f>("1997")</f>
        <v>1997</v>
      </c>
      <c r="O134" t="str">
        <f t="shared" ref="O134:O140" si="59">("4F西文書庫 4F Western Language Books")</f>
        <v>4F西文書庫 4F Western Language Books</v>
      </c>
      <c r="P134" t="s">
        <v>64</v>
      </c>
      <c r="W134" t="str">
        <f t="shared" si="46"/>
        <v>美國國會圖書分類法</v>
      </c>
      <c r="Y134" t="str">
        <f>("RC394.H37")</f>
        <v>RC394.H37</v>
      </c>
      <c r="Z134" t="str">
        <f t="shared" si="58"/>
        <v>2018/08/11 13:33:57</v>
      </c>
      <c r="AA134" t="str">
        <f t="shared" si="33"/>
        <v>catc</v>
      </c>
      <c r="AC134" t="str">
        <f>("K11")</f>
        <v>K11</v>
      </c>
      <c r="AE134" t="str">
        <f t="shared" si="48"/>
        <v>c.1</v>
      </c>
      <c r="AF134" t="str">
        <f t="shared" ref="AF134:AF181" si="60">("1.可借圖書")</f>
        <v>1.可借圖書</v>
      </c>
      <c r="AG134" t="str">
        <f t="shared" ref="AG134:AG140" si="61">("在架")</f>
        <v>在架</v>
      </c>
      <c r="AI134" t="s">
        <v>65</v>
      </c>
      <c r="AK134" t="str">
        <f t="shared" si="34"/>
        <v>一般(Normal)</v>
      </c>
      <c r="AO134" t="s">
        <v>65</v>
      </c>
      <c r="AS134" t="str">
        <f>("c1997. ")</f>
        <v xml:space="preserve">c1997. </v>
      </c>
      <c r="AT134" t="str">
        <f t="shared" si="35"/>
        <v>catc</v>
      </c>
    </row>
    <row r="135" spans="1:46" x14ac:dyDescent="0.25">
      <c r="A135">
        <v>124</v>
      </c>
      <c r="B135" t="str">
        <f>("289047")</f>
        <v>289047</v>
      </c>
      <c r="C135" t="str">
        <f>("W00002160")</f>
        <v>W00002160</v>
      </c>
      <c r="D135" t="str">
        <f>("Mathematics for the clinical laboratory / ")</f>
        <v xml:space="preserve">Mathematics for the clinical laboratory / </v>
      </c>
      <c r="E135" t="str">
        <f>("Doucette, Lorraine J. ")</f>
        <v xml:space="preserve">Doucette, Lorraine J. </v>
      </c>
      <c r="F135" t="str">
        <f>("W.B. Saunders Co., ")</f>
        <v xml:space="preserve">W.B. Saunders Co., </v>
      </c>
      <c r="H135" t="str">
        <f t="shared" si="37"/>
        <v>圖書 book</v>
      </c>
      <c r="I135" t="str">
        <f>("RB38.3 D728 1997")</f>
        <v>RB38.3 D728 1997</v>
      </c>
      <c r="J135" t="str">
        <f>("0721644589")</f>
        <v>0721644589</v>
      </c>
      <c r="K135" t="str">
        <f>("980")</f>
        <v>980</v>
      </c>
      <c r="L135" t="str">
        <f t="shared" si="31"/>
        <v>2001/10/10 00:00:00</v>
      </c>
      <c r="M135" t="str">
        <f t="shared" si="57"/>
        <v>2018/08/11 13:33:57</v>
      </c>
      <c r="N135" t="str">
        <f>("1997")</f>
        <v>1997</v>
      </c>
      <c r="O135" t="str">
        <f t="shared" si="59"/>
        <v>4F西文書庫 4F Western Language Books</v>
      </c>
      <c r="P135" t="s">
        <v>64</v>
      </c>
      <c r="W135" t="str">
        <f t="shared" si="46"/>
        <v>美國國會圖書分類法</v>
      </c>
      <c r="Y135" t="str">
        <f>("RB38.3")</f>
        <v>RB38.3</v>
      </c>
      <c r="Z135" t="str">
        <f t="shared" si="58"/>
        <v>2018/08/11 13:33:57</v>
      </c>
      <c r="AA135" t="str">
        <f t="shared" si="33"/>
        <v>catc</v>
      </c>
      <c r="AC135" t="str">
        <f>("D728")</f>
        <v>D728</v>
      </c>
      <c r="AE135" t="str">
        <f t="shared" si="48"/>
        <v>c.1</v>
      </c>
      <c r="AF135" t="str">
        <f t="shared" si="60"/>
        <v>1.可借圖書</v>
      </c>
      <c r="AG135" t="str">
        <f t="shared" si="61"/>
        <v>在架</v>
      </c>
      <c r="AI135" t="s">
        <v>65</v>
      </c>
      <c r="AK135" t="str">
        <f t="shared" si="34"/>
        <v>一般(Normal)</v>
      </c>
      <c r="AO135" t="s">
        <v>65</v>
      </c>
      <c r="AS135" t="str">
        <f>("c1997. ")</f>
        <v xml:space="preserve">c1997. </v>
      </c>
      <c r="AT135" t="str">
        <f t="shared" si="35"/>
        <v>catc</v>
      </c>
    </row>
    <row r="136" spans="1:46" x14ac:dyDescent="0.25">
      <c r="A136">
        <v>125</v>
      </c>
      <c r="B136" t="str">
        <f>("289048")</f>
        <v>289048</v>
      </c>
      <c r="C136" t="str">
        <f>("W00002161")</f>
        <v>W00002161</v>
      </c>
      <c r="D136" t="str">
        <f>("Intermediate emergency care exam review / ")</f>
        <v xml:space="preserve">Intermediate emergency care exam review / </v>
      </c>
      <c r="E136" t="str">
        <f>("Cherry, Richard A. ")</f>
        <v xml:space="preserve">Cherry, Richard A. </v>
      </c>
      <c r="F136" t="str">
        <f>("Brady/Prentice Hall, ")</f>
        <v xml:space="preserve">Brady/Prentice Hall, </v>
      </c>
      <c r="H136" t="str">
        <f t="shared" si="37"/>
        <v>圖書 book</v>
      </c>
      <c r="I136" t="str">
        <f>("RC86.9 C521 1996")</f>
        <v>RC86.9 C521 1996</v>
      </c>
      <c r="J136" t="str">
        <f>("0835949788")</f>
        <v>0835949788</v>
      </c>
      <c r="K136" t="str">
        <f>("700")</f>
        <v>700</v>
      </c>
      <c r="L136" t="str">
        <f t="shared" si="31"/>
        <v>2001/10/10 00:00:00</v>
      </c>
      <c r="M136" t="str">
        <f t="shared" si="57"/>
        <v>2018/08/11 13:33:57</v>
      </c>
      <c r="N136" t="str">
        <f>("1996")</f>
        <v>1996</v>
      </c>
      <c r="O136" t="str">
        <f t="shared" si="59"/>
        <v>4F西文書庫 4F Western Language Books</v>
      </c>
      <c r="P136" t="s">
        <v>64</v>
      </c>
      <c r="W136" t="str">
        <f t="shared" si="46"/>
        <v>美國國會圖書分類法</v>
      </c>
      <c r="Y136" t="str">
        <f>("RC86.9")</f>
        <v>RC86.9</v>
      </c>
      <c r="Z136" t="str">
        <f t="shared" si="58"/>
        <v>2018/08/11 13:33:57</v>
      </c>
      <c r="AA136" t="str">
        <f t="shared" si="33"/>
        <v>catc</v>
      </c>
      <c r="AC136" t="str">
        <f>("C521")</f>
        <v>C521</v>
      </c>
      <c r="AE136" t="str">
        <f t="shared" si="48"/>
        <v>c.1</v>
      </c>
      <c r="AF136" t="str">
        <f t="shared" si="60"/>
        <v>1.可借圖書</v>
      </c>
      <c r="AG136" t="str">
        <f t="shared" si="61"/>
        <v>在架</v>
      </c>
      <c r="AI136" t="s">
        <v>65</v>
      </c>
      <c r="AK136" t="str">
        <f t="shared" si="34"/>
        <v>一般(Normal)</v>
      </c>
      <c r="AO136" t="s">
        <v>65</v>
      </c>
      <c r="AS136" t="str">
        <f>("c1996. ")</f>
        <v xml:space="preserve">c1996. </v>
      </c>
      <c r="AT136" t="str">
        <f t="shared" si="35"/>
        <v>catc</v>
      </c>
    </row>
    <row r="137" spans="1:46" x14ac:dyDescent="0.25">
      <c r="A137">
        <v>126</v>
      </c>
      <c r="B137" t="str">
        <f>("289049")</f>
        <v>289049</v>
      </c>
      <c r="C137" t="str">
        <f>("W00002162")</f>
        <v>W00002162</v>
      </c>
      <c r="D137" t="str">
        <f>("Lippincott's need-to-know : research survival guide / ")</f>
        <v xml:space="preserve">Lippincott's need-to-know : research survival guide / </v>
      </c>
      <c r="E137" t="str">
        <f>("Doordan, Ann Marttinen. ")</f>
        <v xml:space="preserve">Doordan, Ann Marttinen. </v>
      </c>
      <c r="F137" t="str">
        <f>("Lippincott, ")</f>
        <v xml:space="preserve">Lippincott, </v>
      </c>
      <c r="H137" t="str">
        <f t="shared" si="37"/>
        <v>圖書 book</v>
      </c>
      <c r="I137" t="str">
        <f>("RT81.5 D691 1998")</f>
        <v>RT81.5 D691 1998</v>
      </c>
      <c r="J137" t="str">
        <f>("0781710405")</f>
        <v>0781710405</v>
      </c>
      <c r="K137" t="str">
        <f>("448")</f>
        <v>448</v>
      </c>
      <c r="L137" t="str">
        <f t="shared" si="31"/>
        <v>2001/10/10 00:00:00</v>
      </c>
      <c r="M137" t="str">
        <f t="shared" si="57"/>
        <v>2018/08/11 13:33:57</v>
      </c>
      <c r="N137" t="str">
        <f>("1998")</f>
        <v>1998</v>
      </c>
      <c r="O137" t="str">
        <f t="shared" si="59"/>
        <v>4F西文書庫 4F Western Language Books</v>
      </c>
      <c r="P137" t="s">
        <v>64</v>
      </c>
      <c r="W137" t="str">
        <f t="shared" si="46"/>
        <v>美國國會圖書分類法</v>
      </c>
      <c r="Y137" t="str">
        <f>("RT81.5")</f>
        <v>RT81.5</v>
      </c>
      <c r="Z137" t="str">
        <f t="shared" si="58"/>
        <v>2018/08/11 13:33:57</v>
      </c>
      <c r="AA137" t="str">
        <f t="shared" si="33"/>
        <v>catc</v>
      </c>
      <c r="AC137" t="str">
        <f>("D691")</f>
        <v>D691</v>
      </c>
      <c r="AE137" t="str">
        <f t="shared" si="48"/>
        <v>c.1</v>
      </c>
      <c r="AF137" t="str">
        <f t="shared" si="60"/>
        <v>1.可借圖書</v>
      </c>
      <c r="AG137" t="str">
        <f t="shared" si="61"/>
        <v>在架</v>
      </c>
      <c r="AI137" t="s">
        <v>65</v>
      </c>
      <c r="AK137" t="str">
        <f t="shared" si="34"/>
        <v>一般(Normal)</v>
      </c>
      <c r="AO137" t="s">
        <v>65</v>
      </c>
      <c r="AS137" t="str">
        <f>("c1998. ")</f>
        <v xml:space="preserve">c1998. </v>
      </c>
      <c r="AT137" t="str">
        <f t="shared" si="35"/>
        <v>catc</v>
      </c>
    </row>
    <row r="138" spans="1:46" x14ac:dyDescent="0.25">
      <c r="A138">
        <v>127</v>
      </c>
      <c r="B138" t="str">
        <f>("289050")</f>
        <v>289050</v>
      </c>
      <c r="C138" t="str">
        <f>("W00002163")</f>
        <v>W00002163</v>
      </c>
      <c r="D138" t="str">
        <f>("Mosby's ACE--neuroscience / ")</f>
        <v xml:space="preserve">Mosby's ACE--neuroscience / </v>
      </c>
      <c r="E138" t="str">
        <f>("Castro, Anthony J.")</f>
        <v>Castro, Anthony J.</v>
      </c>
      <c r="F138" t="str">
        <f>("Mosby, ")</f>
        <v xml:space="preserve">Mosby, </v>
      </c>
      <c r="H138" t="str">
        <f t="shared" si="37"/>
        <v>圖書 book</v>
      </c>
      <c r="I138" t="str">
        <f>("QP335.2 C355 1996")</f>
        <v>QP335.2 C355 1996</v>
      </c>
      <c r="J138" t="str">
        <f>("0815114796")</f>
        <v>0815114796</v>
      </c>
      <c r="K138" t="str">
        <f>("816")</f>
        <v>816</v>
      </c>
      <c r="L138" t="str">
        <f t="shared" si="31"/>
        <v>2001/10/10 00:00:00</v>
      </c>
      <c r="M138" t="str">
        <f t="shared" si="57"/>
        <v>2018/08/11 13:33:57</v>
      </c>
      <c r="N138" t="str">
        <f>("1996")</f>
        <v>1996</v>
      </c>
      <c r="O138" t="str">
        <f t="shared" si="59"/>
        <v>4F西文書庫 4F Western Language Books</v>
      </c>
      <c r="P138" t="s">
        <v>64</v>
      </c>
      <c r="W138" t="str">
        <f t="shared" si="46"/>
        <v>美國國會圖書分類法</v>
      </c>
      <c r="Y138" t="str">
        <f>("QP335.2")</f>
        <v>QP335.2</v>
      </c>
      <c r="Z138" t="str">
        <f t="shared" si="58"/>
        <v>2018/08/11 13:33:57</v>
      </c>
      <c r="AA138" t="str">
        <f t="shared" si="33"/>
        <v>catc</v>
      </c>
      <c r="AC138" t="str">
        <f>("C355")</f>
        <v>C355</v>
      </c>
      <c r="AE138" t="str">
        <f t="shared" si="48"/>
        <v>c.1</v>
      </c>
      <c r="AF138" t="str">
        <f t="shared" si="60"/>
        <v>1.可借圖書</v>
      </c>
      <c r="AG138" t="str">
        <f t="shared" si="61"/>
        <v>在架</v>
      </c>
      <c r="AI138" t="s">
        <v>65</v>
      </c>
      <c r="AK138" t="str">
        <f t="shared" si="34"/>
        <v>一般(Normal)</v>
      </c>
      <c r="AO138" t="s">
        <v>65</v>
      </c>
      <c r="AS138" t="str">
        <f>("c1996. ")</f>
        <v xml:space="preserve">c1996. </v>
      </c>
      <c r="AT138" t="str">
        <f t="shared" si="35"/>
        <v>catc</v>
      </c>
    </row>
    <row r="139" spans="1:46" x14ac:dyDescent="0.25">
      <c r="A139">
        <v>128</v>
      </c>
      <c r="B139" t="str">
        <f>("289061")</f>
        <v>289061</v>
      </c>
      <c r="C139" t="str">
        <f>("W00002164")</f>
        <v>W00002164</v>
      </c>
      <c r="D139" t="str">
        <f>("Math for nurses : a pocket guide to dosage calculation and drug preparation / ")</f>
        <v xml:space="preserve">Math for nurses : a pocket guide to dosage calculation and drug preparation / </v>
      </c>
      <c r="E139" t="str">
        <f>("Boyer, Mary Jo. ")</f>
        <v xml:space="preserve">Boyer, Mary Jo. </v>
      </c>
      <c r="F139" t="str">
        <f>("Lippincott, ")</f>
        <v xml:space="preserve">Lippincott, </v>
      </c>
      <c r="G139" t="str">
        <f>("4th ed. ")</f>
        <v xml:space="preserve">4th ed. </v>
      </c>
      <c r="H139" t="str">
        <f t="shared" si="37"/>
        <v>圖書 book</v>
      </c>
      <c r="I139" t="str">
        <f>("RT68 B791 1998")</f>
        <v>RT68 B791 1998</v>
      </c>
      <c r="J139" t="str">
        <f>("0781710219")</f>
        <v>0781710219</v>
      </c>
      <c r="K139" t="str">
        <f>("464")</f>
        <v>464</v>
      </c>
      <c r="L139" t="str">
        <f t="shared" si="31"/>
        <v>2001/10/10 00:00:00</v>
      </c>
      <c r="M139" t="str">
        <f t="shared" ref="M139:M149" si="62">("2018/08/11 13:33:58")</f>
        <v>2018/08/11 13:33:58</v>
      </c>
      <c r="N139" t="str">
        <f>("1998")</f>
        <v>1998</v>
      </c>
      <c r="O139" t="str">
        <f t="shared" si="59"/>
        <v>4F西文書庫 4F Western Language Books</v>
      </c>
      <c r="P139" t="s">
        <v>64</v>
      </c>
      <c r="W139" t="str">
        <f t="shared" si="46"/>
        <v>美國國會圖書分類法</v>
      </c>
      <c r="Y139" t="str">
        <f>("RT68")</f>
        <v>RT68</v>
      </c>
      <c r="Z139" t="str">
        <f t="shared" si="58"/>
        <v>2018/08/11 13:33:57</v>
      </c>
      <c r="AA139" t="str">
        <f t="shared" si="33"/>
        <v>catc</v>
      </c>
      <c r="AC139" t="str">
        <f>("B791")</f>
        <v>B791</v>
      </c>
      <c r="AE139" t="str">
        <f t="shared" si="48"/>
        <v>c.1</v>
      </c>
      <c r="AF139" t="str">
        <f t="shared" si="60"/>
        <v>1.可借圖書</v>
      </c>
      <c r="AG139" t="str">
        <f t="shared" si="61"/>
        <v>在架</v>
      </c>
      <c r="AI139" t="s">
        <v>65</v>
      </c>
      <c r="AK139" t="str">
        <f t="shared" si="34"/>
        <v>一般(Normal)</v>
      </c>
      <c r="AO139" t="s">
        <v>65</v>
      </c>
      <c r="AS139" t="str">
        <f>("c1998. ")</f>
        <v xml:space="preserve">c1998. </v>
      </c>
      <c r="AT139" t="str">
        <f t="shared" si="35"/>
        <v>catc</v>
      </c>
    </row>
    <row r="140" spans="1:46" x14ac:dyDescent="0.25">
      <c r="A140">
        <v>129</v>
      </c>
      <c r="B140" t="str">
        <f>("289062")</f>
        <v>289062</v>
      </c>
      <c r="C140" t="str">
        <f>("W00002165")</f>
        <v>W00002165</v>
      </c>
      <c r="D140" t="str">
        <f>("Practical guide to the care of the medical patient /")</f>
        <v>Practical guide to the care of the medical patient /</v>
      </c>
      <c r="E140" t="str">
        <f>("Ferri,Fred F. ")</f>
        <v xml:space="preserve">Ferri,Fred F. </v>
      </c>
      <c r="F140" t="str">
        <f>("Mosby,")</f>
        <v>Mosby,</v>
      </c>
      <c r="G140" t="str">
        <f>("4th ed.")</f>
        <v>4th ed.</v>
      </c>
      <c r="H140" t="str">
        <f t="shared" si="37"/>
        <v>圖書 book</v>
      </c>
      <c r="I140" t="str">
        <f>("RC55 F388 1998")</f>
        <v>RC55 F388 1998</v>
      </c>
      <c r="J140" t="str">
        <f>("0815136684")</f>
        <v>0815136684</v>
      </c>
      <c r="K140" t="str">
        <f>("980")</f>
        <v>980</v>
      </c>
      <c r="L140" t="str">
        <f t="shared" ref="L140:L203" si="63">("2001/10/10 00:00:00")</f>
        <v>2001/10/10 00:00:00</v>
      </c>
      <c r="M140" t="str">
        <f t="shared" si="62"/>
        <v>2018/08/11 13:33:58</v>
      </c>
      <c r="N140" t="str">
        <f>("1998")</f>
        <v>1998</v>
      </c>
      <c r="O140" t="str">
        <f t="shared" si="59"/>
        <v>4F西文書庫 4F Western Language Books</v>
      </c>
      <c r="P140" t="s">
        <v>64</v>
      </c>
      <c r="W140" t="str">
        <f t="shared" si="46"/>
        <v>美國國會圖書分類法</v>
      </c>
      <c r="Y140" t="str">
        <f>("RC55")</f>
        <v>RC55</v>
      </c>
      <c r="Z140" t="str">
        <f t="shared" ref="Z140:Z149" si="64">("2018/08/11 13:33:58")</f>
        <v>2018/08/11 13:33:58</v>
      </c>
      <c r="AA140" t="str">
        <f t="shared" ref="AA140:AA203" si="65">("catc")</f>
        <v>catc</v>
      </c>
      <c r="AC140" t="str">
        <f>("F388")</f>
        <v>F388</v>
      </c>
      <c r="AE140" t="str">
        <f t="shared" si="48"/>
        <v>c.1</v>
      </c>
      <c r="AF140" t="str">
        <f t="shared" si="60"/>
        <v>1.可借圖書</v>
      </c>
      <c r="AG140" t="str">
        <f t="shared" si="61"/>
        <v>在架</v>
      </c>
      <c r="AI140" t="s">
        <v>65</v>
      </c>
      <c r="AK140" t="str">
        <f t="shared" ref="AK140:AK203" si="66">("一般(Normal)")</f>
        <v>一般(Normal)</v>
      </c>
      <c r="AO140" t="s">
        <v>65</v>
      </c>
      <c r="AS140" t="str">
        <f>("c1998.")</f>
        <v>c1998.</v>
      </c>
      <c r="AT140" t="str">
        <f t="shared" ref="AT140:AT203" si="67">("catc")</f>
        <v>catc</v>
      </c>
    </row>
    <row r="141" spans="1:46" x14ac:dyDescent="0.25">
      <c r="A141">
        <v>130</v>
      </c>
      <c r="B141" t="str">
        <f>("289063")</f>
        <v>289063</v>
      </c>
      <c r="C141" t="str">
        <f>("W00002166")</f>
        <v>W00002166</v>
      </c>
      <c r="D141" t="str">
        <f>("Harry Potter and the chamber of secrets / ")</f>
        <v xml:space="preserve">Harry Potter and the chamber of secrets / </v>
      </c>
      <c r="E141" t="str">
        <f>("Rowling, J. K ")</f>
        <v xml:space="preserve">Rowling, J. K </v>
      </c>
      <c r="F141" t="str">
        <f>("Bloomsbury Publishing,")</f>
        <v>Bloomsbury Publishing,</v>
      </c>
      <c r="H141" t="str">
        <f t="shared" si="37"/>
        <v>圖書 book</v>
      </c>
      <c r="I141" t="str">
        <f>("PZ7.R79835 R883 1998")</f>
        <v>PZ7.R79835 R883 1998</v>
      </c>
      <c r="J141" t="str">
        <f>("0747538492")</f>
        <v>0747538492</v>
      </c>
      <c r="K141" t="str">
        <f>("320")</f>
        <v>320</v>
      </c>
      <c r="L141" t="str">
        <f t="shared" si="63"/>
        <v>2001/10/10 00:00:00</v>
      </c>
      <c r="M141" t="str">
        <f t="shared" si="62"/>
        <v>2018/08/11 13:33:58</v>
      </c>
      <c r="N141" t="str">
        <f>("1998")</f>
        <v>1998</v>
      </c>
      <c r="O141" t="str">
        <f>("2F百大好書專區 2F Top 100 Books")</f>
        <v>2F百大好書專區 2F Top 100 Books</v>
      </c>
      <c r="P141" t="s">
        <v>64</v>
      </c>
      <c r="W141" t="str">
        <f t="shared" si="46"/>
        <v>美國國會圖書分類法</v>
      </c>
      <c r="Y141" t="str">
        <f>("PZ7.R79835")</f>
        <v>PZ7.R79835</v>
      </c>
      <c r="Z141" t="str">
        <f t="shared" si="64"/>
        <v>2018/08/11 13:33:58</v>
      </c>
      <c r="AA141" t="str">
        <f t="shared" si="65"/>
        <v>catc</v>
      </c>
      <c r="AC141" t="str">
        <f>("R883")</f>
        <v>R883</v>
      </c>
      <c r="AE141" t="str">
        <f t="shared" si="48"/>
        <v>c.1</v>
      </c>
      <c r="AF141" t="str">
        <f t="shared" si="60"/>
        <v>1.可借圖書</v>
      </c>
      <c r="AI141" t="s">
        <v>65</v>
      </c>
      <c r="AK141" t="str">
        <f t="shared" si="66"/>
        <v>一般(Normal)</v>
      </c>
      <c r="AO141" t="s">
        <v>65</v>
      </c>
      <c r="AS141" t="str">
        <f>("1998 ")</f>
        <v xml:space="preserve">1998 </v>
      </c>
      <c r="AT141" t="str">
        <f t="shared" si="67"/>
        <v>catc</v>
      </c>
    </row>
    <row r="142" spans="1:46" x14ac:dyDescent="0.25">
      <c r="A142">
        <v>131</v>
      </c>
      <c r="B142" t="str">
        <f>("289064")</f>
        <v>289064</v>
      </c>
      <c r="C142" t="str">
        <f>("W00002167")</f>
        <v>W00002167</v>
      </c>
      <c r="D142" t="str">
        <f>("Handbook of pediatrics /")</f>
        <v>Handbook of pediatrics /</v>
      </c>
      <c r="E142" t="str">
        <f>("Merenstein,Gerald B. ")</f>
        <v xml:space="preserve">Merenstein,Gerald B. </v>
      </c>
      <c r="F142" t="str">
        <f>("Appleton &amp; Lange,")</f>
        <v>Appleton &amp; Lange,</v>
      </c>
      <c r="G142" t="str">
        <f>("18th ed.")</f>
        <v>18th ed.</v>
      </c>
      <c r="H142" t="str">
        <f t="shared" si="37"/>
        <v>圖書 book</v>
      </c>
      <c r="I142" t="str">
        <f>("WS18.2 M558 1997")</f>
        <v>WS18.2 M558 1997</v>
      </c>
      <c r="J142" t="str">
        <f>("0838536476")</f>
        <v>0838536476</v>
      </c>
      <c r="K142" t="str">
        <f>("616")</f>
        <v>616</v>
      </c>
      <c r="L142" t="str">
        <f t="shared" si="63"/>
        <v>2001/10/10 00:00:00</v>
      </c>
      <c r="M142" t="str">
        <f t="shared" si="62"/>
        <v>2018/08/11 13:33:58</v>
      </c>
      <c r="N142" t="str">
        <f>("1997")</f>
        <v>1997</v>
      </c>
      <c r="O142" t="str">
        <f t="shared" ref="O142:O181" si="68">("4F西文書庫 4F Western Language Books")</f>
        <v>4F西文書庫 4F Western Language Books</v>
      </c>
      <c r="P142" t="s">
        <v>64</v>
      </c>
      <c r="W142" t="str">
        <f>("美國國家醫學圖書館分類法")</f>
        <v>美國國家醫學圖書館分類法</v>
      </c>
      <c r="Y142" t="str">
        <f>("WS18.2")</f>
        <v>WS18.2</v>
      </c>
      <c r="Z142" t="str">
        <f t="shared" si="64"/>
        <v>2018/08/11 13:33:58</v>
      </c>
      <c r="AA142" t="str">
        <f t="shared" si="65"/>
        <v>catc</v>
      </c>
      <c r="AC142" t="str">
        <f>("M558")</f>
        <v>M558</v>
      </c>
      <c r="AE142" t="str">
        <f t="shared" si="48"/>
        <v>c.1</v>
      </c>
      <c r="AF142" t="str">
        <f t="shared" si="60"/>
        <v>1.可借圖書</v>
      </c>
      <c r="AG142" t="str">
        <f t="shared" ref="AG142:AG181" si="69">("在架")</f>
        <v>在架</v>
      </c>
      <c r="AI142" t="s">
        <v>65</v>
      </c>
      <c r="AK142" t="str">
        <f t="shared" si="66"/>
        <v>一般(Normal)</v>
      </c>
      <c r="AO142" t="s">
        <v>65</v>
      </c>
      <c r="AS142" t="str">
        <f>("c1997.")</f>
        <v>c1997.</v>
      </c>
      <c r="AT142" t="str">
        <f t="shared" si="67"/>
        <v>catc</v>
      </c>
    </row>
    <row r="143" spans="1:46" x14ac:dyDescent="0.25">
      <c r="A143">
        <v>132</v>
      </c>
      <c r="B143" t="str">
        <f>("289065")</f>
        <v>289065</v>
      </c>
      <c r="C143" t="str">
        <f>("W00002168")</f>
        <v>W00002168</v>
      </c>
      <c r="D143" t="str">
        <f>("Handbook of nursing diagnosis / ")</f>
        <v xml:space="preserve">Handbook of nursing diagnosis / </v>
      </c>
      <c r="E143" t="str">
        <f>("Carpenito, Lynda Juall. ")</f>
        <v xml:space="preserve">Carpenito, Lynda Juall. </v>
      </c>
      <c r="F143" t="str">
        <f>("Lippincott, ")</f>
        <v xml:space="preserve">Lippincott, </v>
      </c>
      <c r="G143" t="str">
        <f>("7th ed. ")</f>
        <v xml:space="preserve">7th ed. </v>
      </c>
      <c r="H143" t="str">
        <f t="shared" si="37"/>
        <v>圖書 book</v>
      </c>
      <c r="I143" t="str">
        <f>("RT48.6 C295 1997")</f>
        <v>RT48.6 C295 1997</v>
      </c>
      <c r="J143" t="str">
        <f>("0397554303")</f>
        <v>0397554303</v>
      </c>
      <c r="K143" t="str">
        <f>("672")</f>
        <v>672</v>
      </c>
      <c r="L143" t="str">
        <f t="shared" si="63"/>
        <v>2001/10/10 00:00:00</v>
      </c>
      <c r="M143" t="str">
        <f t="shared" si="62"/>
        <v>2018/08/11 13:33:58</v>
      </c>
      <c r="N143" t="str">
        <f>("1997")</f>
        <v>1997</v>
      </c>
      <c r="O143" t="str">
        <f t="shared" si="68"/>
        <v>4F西文書庫 4F Western Language Books</v>
      </c>
      <c r="P143" t="s">
        <v>64</v>
      </c>
      <c r="W143" t="str">
        <f t="shared" ref="W143:W174" si="70">("美國國會圖書分類法")</f>
        <v>美國國會圖書分類法</v>
      </c>
      <c r="Y143" t="str">
        <f>("RT48.6")</f>
        <v>RT48.6</v>
      </c>
      <c r="Z143" t="str">
        <f t="shared" si="64"/>
        <v>2018/08/11 13:33:58</v>
      </c>
      <c r="AA143" t="str">
        <f t="shared" si="65"/>
        <v>catc</v>
      </c>
      <c r="AC143" t="str">
        <f>("C295")</f>
        <v>C295</v>
      </c>
      <c r="AE143" t="str">
        <f t="shared" si="48"/>
        <v>c.1</v>
      </c>
      <c r="AF143" t="str">
        <f t="shared" si="60"/>
        <v>1.可借圖書</v>
      </c>
      <c r="AG143" t="str">
        <f t="shared" si="69"/>
        <v>在架</v>
      </c>
      <c r="AI143" t="s">
        <v>65</v>
      </c>
      <c r="AK143" t="str">
        <f t="shared" si="66"/>
        <v>一般(Normal)</v>
      </c>
      <c r="AO143" t="s">
        <v>65</v>
      </c>
      <c r="AS143" t="str">
        <f>("c1997. ")</f>
        <v xml:space="preserve">c1997. </v>
      </c>
      <c r="AT143" t="str">
        <f t="shared" si="67"/>
        <v>catc</v>
      </c>
    </row>
    <row r="144" spans="1:46" x14ac:dyDescent="0.25">
      <c r="A144">
        <v>133</v>
      </c>
      <c r="B144" t="str">
        <f>("289051")</f>
        <v>289051</v>
      </c>
      <c r="C144" t="str">
        <f>("W00002169")</f>
        <v>W00002169</v>
      </c>
      <c r="D144" t="str">
        <f>("Lippincott's need-to-know nursing reference facts / ")</f>
        <v xml:space="preserve">Lippincott's need-to-know nursing reference facts / </v>
      </c>
      <c r="E144" t="str">
        <f>("Foley, Maryann. ")</f>
        <v xml:space="preserve">Foley, Maryann. </v>
      </c>
      <c r="F144" t="str">
        <f>("Lippincott, ")</f>
        <v xml:space="preserve">Lippincott, </v>
      </c>
      <c r="H144" t="str">
        <f t="shared" si="37"/>
        <v>圖書 book</v>
      </c>
      <c r="I144" t="str">
        <f>("RB38.2 F663 1998")</f>
        <v>RB38.2 F663 1998</v>
      </c>
      <c r="J144" t="str">
        <f>("0781714443")</f>
        <v>0781714443</v>
      </c>
      <c r="K144" t="str">
        <f>("448")</f>
        <v>448</v>
      </c>
      <c r="L144" t="str">
        <f t="shared" si="63"/>
        <v>2001/10/10 00:00:00</v>
      </c>
      <c r="M144" t="str">
        <f t="shared" si="62"/>
        <v>2018/08/11 13:33:58</v>
      </c>
      <c r="N144" t="str">
        <f>("1998")</f>
        <v>1998</v>
      </c>
      <c r="O144" t="str">
        <f t="shared" si="68"/>
        <v>4F西文書庫 4F Western Language Books</v>
      </c>
      <c r="P144" t="s">
        <v>64</v>
      </c>
      <c r="W144" t="str">
        <f t="shared" si="70"/>
        <v>美國國會圖書分類法</v>
      </c>
      <c r="Y144" t="str">
        <f>("RB38.2")</f>
        <v>RB38.2</v>
      </c>
      <c r="Z144" t="str">
        <f t="shared" si="64"/>
        <v>2018/08/11 13:33:58</v>
      </c>
      <c r="AA144" t="str">
        <f t="shared" si="65"/>
        <v>catc</v>
      </c>
      <c r="AC144" t="str">
        <f>("F663")</f>
        <v>F663</v>
      </c>
      <c r="AE144" t="str">
        <f t="shared" si="48"/>
        <v>c.1</v>
      </c>
      <c r="AF144" t="str">
        <f t="shared" si="60"/>
        <v>1.可借圖書</v>
      </c>
      <c r="AG144" t="str">
        <f t="shared" si="69"/>
        <v>在架</v>
      </c>
      <c r="AI144" t="s">
        <v>65</v>
      </c>
      <c r="AK144" t="str">
        <f t="shared" si="66"/>
        <v>一般(Normal)</v>
      </c>
      <c r="AO144" t="s">
        <v>65</v>
      </c>
      <c r="AS144" t="str">
        <f>("c1998. ")</f>
        <v xml:space="preserve">c1998. </v>
      </c>
      <c r="AT144" t="str">
        <f t="shared" si="67"/>
        <v>catc</v>
      </c>
    </row>
    <row r="145" spans="1:46" x14ac:dyDescent="0.25">
      <c r="A145">
        <v>134</v>
      </c>
      <c r="B145" t="str">
        <f>("289052")</f>
        <v>289052</v>
      </c>
      <c r="C145" t="str">
        <f>("W00002170")</f>
        <v>W00002170</v>
      </c>
      <c r="D145" t="str">
        <f>("Management in occupational therapy /")</f>
        <v>Management in occupational therapy /</v>
      </c>
      <c r="E145" t="str">
        <f>("Maslin, Z. B.1944- ")</f>
        <v xml:space="preserve">Maslin, Z. B.1944- </v>
      </c>
      <c r="F145" t="str">
        <f>("Chapman &amp; Hall,")</f>
        <v>Chapman &amp; Hall,</v>
      </c>
      <c r="G145" t="str">
        <f>("1st ed ")</f>
        <v xml:space="preserve">1st ed </v>
      </c>
      <c r="H145" t="str">
        <f t="shared" si="37"/>
        <v>圖書 book</v>
      </c>
      <c r="I145" t="str">
        <f>("RM735.6 M397 1991")</f>
        <v>RM735.6 M397 1991</v>
      </c>
      <c r="J145" t="str">
        <f>("0412333805")</f>
        <v>0412333805</v>
      </c>
      <c r="K145" t="str">
        <f>("836")</f>
        <v>836</v>
      </c>
      <c r="L145" t="str">
        <f t="shared" si="63"/>
        <v>2001/10/10 00:00:00</v>
      </c>
      <c r="M145" t="str">
        <f t="shared" si="62"/>
        <v>2018/08/11 13:33:58</v>
      </c>
      <c r="N145" t="str">
        <f>("1991")</f>
        <v>1991</v>
      </c>
      <c r="O145" t="str">
        <f t="shared" si="68"/>
        <v>4F西文書庫 4F Western Language Books</v>
      </c>
      <c r="P145" t="s">
        <v>64</v>
      </c>
      <c r="W145" t="str">
        <f t="shared" si="70"/>
        <v>美國國會圖書分類法</v>
      </c>
      <c r="Y145" t="str">
        <f>("RM735.6")</f>
        <v>RM735.6</v>
      </c>
      <c r="Z145" t="str">
        <f t="shared" si="64"/>
        <v>2018/08/11 13:33:58</v>
      </c>
      <c r="AA145" t="str">
        <f t="shared" si="65"/>
        <v>catc</v>
      </c>
      <c r="AC145" t="str">
        <f>("M397")</f>
        <v>M397</v>
      </c>
      <c r="AE145" t="str">
        <f t="shared" si="48"/>
        <v>c.1</v>
      </c>
      <c r="AF145" t="str">
        <f t="shared" si="60"/>
        <v>1.可借圖書</v>
      </c>
      <c r="AG145" t="str">
        <f t="shared" si="69"/>
        <v>在架</v>
      </c>
      <c r="AI145" t="s">
        <v>65</v>
      </c>
      <c r="AK145" t="str">
        <f t="shared" si="66"/>
        <v>一般(Normal)</v>
      </c>
      <c r="AO145" t="s">
        <v>65</v>
      </c>
      <c r="AS145" t="str">
        <f>("1991 ")</f>
        <v xml:space="preserve">1991 </v>
      </c>
      <c r="AT145" t="str">
        <f t="shared" si="67"/>
        <v>catc</v>
      </c>
    </row>
    <row r="146" spans="1:46" x14ac:dyDescent="0.25">
      <c r="A146">
        <v>135</v>
      </c>
      <c r="B146" t="str">
        <f>("289053")</f>
        <v>289053</v>
      </c>
      <c r="C146" t="str">
        <f>("W00002171")</f>
        <v>W00002171</v>
      </c>
      <c r="D146" t="str">
        <f>("Last minute resumes /")</f>
        <v>Last minute resumes /</v>
      </c>
      <c r="E146" t="str">
        <f>("Toropov, Brandon.")</f>
        <v>Toropov, Brandon.</v>
      </c>
      <c r="F146" t="str">
        <f>("Career Press ,")</f>
        <v>Career Press ,</v>
      </c>
      <c r="H146" t="str">
        <f t="shared" si="37"/>
        <v>圖書 book</v>
      </c>
      <c r="I146" t="str">
        <f>("HF5383 T685 1998")</f>
        <v>HF5383 T685 1998</v>
      </c>
      <c r="J146" t="str">
        <f>("1564143546")</f>
        <v>1564143546</v>
      </c>
      <c r="K146" t="str">
        <f>("296")</f>
        <v>296</v>
      </c>
      <c r="L146" t="str">
        <f t="shared" si="63"/>
        <v>2001/10/10 00:00:00</v>
      </c>
      <c r="M146" t="str">
        <f t="shared" si="62"/>
        <v>2018/08/11 13:33:58</v>
      </c>
      <c r="N146" t="str">
        <f>("1998")</f>
        <v>1998</v>
      </c>
      <c r="O146" t="str">
        <f t="shared" si="68"/>
        <v>4F西文書庫 4F Western Language Books</v>
      </c>
      <c r="P146" t="s">
        <v>64</v>
      </c>
      <c r="W146" t="str">
        <f t="shared" si="70"/>
        <v>美國國會圖書分類法</v>
      </c>
      <c r="Y146" t="str">
        <f>("HF5383")</f>
        <v>HF5383</v>
      </c>
      <c r="Z146" t="str">
        <f t="shared" si="64"/>
        <v>2018/08/11 13:33:58</v>
      </c>
      <c r="AA146" t="str">
        <f t="shared" si="65"/>
        <v>catc</v>
      </c>
      <c r="AC146" t="str">
        <f>("T685")</f>
        <v>T685</v>
      </c>
      <c r="AE146" t="str">
        <f t="shared" ref="AE146:AE181" si="71">("c.1")</f>
        <v>c.1</v>
      </c>
      <c r="AF146" t="str">
        <f t="shared" si="60"/>
        <v>1.可借圖書</v>
      </c>
      <c r="AG146" t="str">
        <f t="shared" si="69"/>
        <v>在架</v>
      </c>
      <c r="AI146" t="s">
        <v>65</v>
      </c>
      <c r="AK146" t="str">
        <f t="shared" si="66"/>
        <v>一般(Normal)</v>
      </c>
      <c r="AO146" t="s">
        <v>65</v>
      </c>
      <c r="AS146" t="str">
        <f>("c1998.")</f>
        <v>c1998.</v>
      </c>
      <c r="AT146" t="str">
        <f t="shared" si="67"/>
        <v>catc</v>
      </c>
    </row>
    <row r="147" spans="1:46" x14ac:dyDescent="0.25">
      <c r="A147">
        <v>136</v>
      </c>
      <c r="B147" t="str">
        <f>("289054")</f>
        <v>289054</v>
      </c>
      <c r="C147" t="str">
        <f>("W00002172")</f>
        <v>W00002172</v>
      </c>
      <c r="D147" t="str">
        <f>("Managing &amp; marketing technology / ")</f>
        <v xml:space="preserve">Managing &amp; marketing technology / </v>
      </c>
      <c r="E147" t="str">
        <f>("Ford,David")</f>
        <v>Ford,David</v>
      </c>
      <c r="F147" t="str">
        <f>("Thomson learning, ")</f>
        <v xml:space="preserve">Thomson learning, </v>
      </c>
      <c r="G147" t="str">
        <f>("2nd ed.")</f>
        <v>2nd ed.</v>
      </c>
      <c r="H147" t="str">
        <f t="shared" si="37"/>
        <v>圖書 book</v>
      </c>
      <c r="I147" t="str">
        <f>("HF5415 F699 2001")</f>
        <v>HF5415 F699 2001</v>
      </c>
      <c r="J147" t="str">
        <f>("186152594X")</f>
        <v>186152594X</v>
      </c>
      <c r="K147" t="str">
        <f>("1184")</f>
        <v>1184</v>
      </c>
      <c r="L147" t="str">
        <f t="shared" si="63"/>
        <v>2001/10/10 00:00:00</v>
      </c>
      <c r="M147" t="str">
        <f t="shared" si="62"/>
        <v>2018/08/11 13:33:58</v>
      </c>
      <c r="N147" t="str">
        <f>("2001")</f>
        <v>2001</v>
      </c>
      <c r="O147" t="str">
        <f t="shared" si="68"/>
        <v>4F西文書庫 4F Western Language Books</v>
      </c>
      <c r="P147" t="s">
        <v>64</v>
      </c>
      <c r="W147" t="str">
        <f t="shared" si="70"/>
        <v>美國國會圖書分類法</v>
      </c>
      <c r="Y147" t="str">
        <f>("HF5415")</f>
        <v>HF5415</v>
      </c>
      <c r="Z147" t="str">
        <f t="shared" si="64"/>
        <v>2018/08/11 13:33:58</v>
      </c>
      <c r="AA147" t="str">
        <f t="shared" si="65"/>
        <v>catc</v>
      </c>
      <c r="AC147" t="str">
        <f>("F699")</f>
        <v>F699</v>
      </c>
      <c r="AE147" t="str">
        <f t="shared" si="71"/>
        <v>c.1</v>
      </c>
      <c r="AF147" t="str">
        <f t="shared" si="60"/>
        <v>1.可借圖書</v>
      </c>
      <c r="AG147" t="str">
        <f t="shared" si="69"/>
        <v>在架</v>
      </c>
      <c r="AI147" t="s">
        <v>65</v>
      </c>
      <c r="AK147" t="str">
        <f t="shared" si="66"/>
        <v>一般(Normal)</v>
      </c>
      <c r="AO147" t="s">
        <v>65</v>
      </c>
      <c r="AS147" t="str">
        <f>("2001.")</f>
        <v>2001.</v>
      </c>
      <c r="AT147" t="str">
        <f t="shared" si="67"/>
        <v>catc</v>
      </c>
    </row>
    <row r="148" spans="1:46" x14ac:dyDescent="0.25">
      <c r="A148">
        <v>137</v>
      </c>
      <c r="B148" t="str">
        <f>("289055")</f>
        <v>289055</v>
      </c>
      <c r="C148" t="str">
        <f>("W00002173")</f>
        <v>W00002173</v>
      </c>
      <c r="D148" t="str">
        <f>("Sociology :a global perspective /")</f>
        <v>Sociology :a global perspective /</v>
      </c>
      <c r="E148" t="str">
        <f>("Ferrante-Wallace, Joan,1955- ")</f>
        <v xml:space="preserve">Ferrante-Wallace, Joan,1955- </v>
      </c>
      <c r="F148" t="str">
        <f>("Wadsworth Pub. Co.,")</f>
        <v>Wadsworth Pub. Co.,</v>
      </c>
      <c r="G148" t="str">
        <f>("3rd ed. ")</f>
        <v xml:space="preserve">3rd ed. </v>
      </c>
      <c r="H148" t="str">
        <f t="shared" si="37"/>
        <v>圖書 book</v>
      </c>
      <c r="I148" t="str">
        <f>("HM51 F373 1998")</f>
        <v>HM51 F373 1998</v>
      </c>
      <c r="J148" t="str">
        <f>("0534525512")</f>
        <v>0534525512</v>
      </c>
      <c r="K148" t="str">
        <f>("1408")</f>
        <v>1408</v>
      </c>
      <c r="L148" t="str">
        <f t="shared" si="63"/>
        <v>2001/10/10 00:00:00</v>
      </c>
      <c r="M148" t="str">
        <f t="shared" si="62"/>
        <v>2018/08/11 13:33:58</v>
      </c>
      <c r="N148" t="str">
        <f>("1998")</f>
        <v>1998</v>
      </c>
      <c r="O148" t="str">
        <f t="shared" si="68"/>
        <v>4F西文書庫 4F Western Language Books</v>
      </c>
      <c r="P148" t="s">
        <v>64</v>
      </c>
      <c r="W148" t="str">
        <f t="shared" si="70"/>
        <v>美國國會圖書分類法</v>
      </c>
      <c r="Y148" t="str">
        <f>("HM51")</f>
        <v>HM51</v>
      </c>
      <c r="Z148" t="str">
        <f t="shared" si="64"/>
        <v>2018/08/11 13:33:58</v>
      </c>
      <c r="AA148" t="str">
        <f t="shared" si="65"/>
        <v>catc</v>
      </c>
      <c r="AC148" t="str">
        <f>("F373")</f>
        <v>F373</v>
      </c>
      <c r="AE148" t="str">
        <f t="shared" si="71"/>
        <v>c.1</v>
      </c>
      <c r="AF148" t="str">
        <f t="shared" si="60"/>
        <v>1.可借圖書</v>
      </c>
      <c r="AG148" t="str">
        <f t="shared" si="69"/>
        <v>在架</v>
      </c>
      <c r="AI148" t="s">
        <v>65</v>
      </c>
      <c r="AK148" t="str">
        <f t="shared" si="66"/>
        <v>一般(Normal)</v>
      </c>
      <c r="AO148" t="s">
        <v>65</v>
      </c>
      <c r="AS148" t="str">
        <f>("c1998. ")</f>
        <v xml:space="preserve">c1998. </v>
      </c>
      <c r="AT148" t="str">
        <f t="shared" si="67"/>
        <v>catc</v>
      </c>
    </row>
    <row r="149" spans="1:46" x14ac:dyDescent="0.25">
      <c r="A149">
        <v>138</v>
      </c>
      <c r="B149" t="str">
        <f>("289056")</f>
        <v>289056</v>
      </c>
      <c r="C149" t="str">
        <f>("W00002174")</f>
        <v>W00002174</v>
      </c>
      <c r="D149" t="str">
        <f>("Effective reading strategies : teaching children who find reading difficult / ")</f>
        <v xml:space="preserve">Effective reading strategies : teaching children who find reading difficult / </v>
      </c>
      <c r="E149" t="str">
        <f>("Rasinski, Timothy V. ")</f>
        <v xml:space="preserve">Rasinski, Timothy V. </v>
      </c>
      <c r="F149" t="str">
        <f>("Merrill, ")</f>
        <v xml:space="preserve">Merrill, </v>
      </c>
      <c r="G149" t="str">
        <f>("2nd ed. ")</f>
        <v xml:space="preserve">2nd ed. </v>
      </c>
      <c r="H149" t="str">
        <f t="shared" ref="H149:H212" si="72">("圖書 book")</f>
        <v>圖書 book</v>
      </c>
      <c r="I149" t="str">
        <f>("LB1050.5 R224-2 2000")</f>
        <v>LB1050.5 R224-2 2000</v>
      </c>
      <c r="J149" t="str">
        <f>("0130996696")</f>
        <v>0130996696</v>
      </c>
      <c r="K149" t="str">
        <f>("1008")</f>
        <v>1008</v>
      </c>
      <c r="L149" t="str">
        <f t="shared" si="63"/>
        <v>2001/10/10 00:00:00</v>
      </c>
      <c r="M149" t="str">
        <f t="shared" si="62"/>
        <v>2018/08/11 13:33:58</v>
      </c>
      <c r="N149" t="str">
        <f>("2000")</f>
        <v>2000</v>
      </c>
      <c r="O149" t="str">
        <f t="shared" si="68"/>
        <v>4F西文書庫 4F Western Language Books</v>
      </c>
      <c r="P149" t="s">
        <v>64</v>
      </c>
      <c r="W149" t="str">
        <f t="shared" si="70"/>
        <v>美國國會圖書分類法</v>
      </c>
      <c r="Y149" t="str">
        <f>("LB1050.5")</f>
        <v>LB1050.5</v>
      </c>
      <c r="Z149" t="str">
        <f t="shared" si="64"/>
        <v>2018/08/11 13:33:58</v>
      </c>
      <c r="AA149" t="str">
        <f t="shared" si="65"/>
        <v>catc</v>
      </c>
      <c r="AC149" t="str">
        <f>("R224-2")</f>
        <v>R224-2</v>
      </c>
      <c r="AE149" t="str">
        <f t="shared" si="71"/>
        <v>c.1</v>
      </c>
      <c r="AF149" t="str">
        <f t="shared" si="60"/>
        <v>1.可借圖書</v>
      </c>
      <c r="AG149" t="str">
        <f t="shared" si="69"/>
        <v>在架</v>
      </c>
      <c r="AI149" t="s">
        <v>65</v>
      </c>
      <c r="AK149" t="str">
        <f t="shared" si="66"/>
        <v>一般(Normal)</v>
      </c>
      <c r="AO149" t="s">
        <v>65</v>
      </c>
      <c r="AS149" t="str">
        <f>("c2000. ")</f>
        <v xml:space="preserve">c2000. </v>
      </c>
      <c r="AT149" t="str">
        <f t="shared" si="67"/>
        <v>catc</v>
      </c>
    </row>
    <row r="150" spans="1:46" x14ac:dyDescent="0.25">
      <c r="A150">
        <v>139</v>
      </c>
      <c r="B150" t="str">
        <f>("289057")</f>
        <v>289057</v>
      </c>
      <c r="C150" t="str">
        <f>("W00002175")</f>
        <v>W00002175</v>
      </c>
      <c r="D150" t="str">
        <f>("Counseling and psychotherapy: an integrated, individual psychology approach/ ")</f>
        <v xml:space="preserve">Counseling and psychotherapy: an integrated, individual psychology approach/ </v>
      </c>
      <c r="E150" t="str">
        <f>("Dinkmeyer, Don C.")</f>
        <v>Dinkmeyer, Don C.</v>
      </c>
      <c r="F150" t="str">
        <f>("Merrill, ")</f>
        <v xml:space="preserve">Merrill, </v>
      </c>
      <c r="G150" t="str">
        <f>("3rd. ed.")</f>
        <v>3rd. ed.</v>
      </c>
      <c r="H150" t="str">
        <f t="shared" si="72"/>
        <v>圖書 book</v>
      </c>
      <c r="I150" t="str">
        <f>("RC480.5.D56 D583 2000")</f>
        <v>RC480.5.D56 D583 2000</v>
      </c>
      <c r="J150" t="str">
        <f>("0023984716")</f>
        <v>0023984716</v>
      </c>
      <c r="K150" t="str">
        <f>("1064")</f>
        <v>1064</v>
      </c>
      <c r="L150" t="str">
        <f t="shared" si="63"/>
        <v>2001/10/10 00:00:00</v>
      </c>
      <c r="M150" t="str">
        <f>("2018/08/11 13:33:59")</f>
        <v>2018/08/11 13:33:59</v>
      </c>
      <c r="N150" t="str">
        <f>("2000")</f>
        <v>2000</v>
      </c>
      <c r="O150" t="str">
        <f t="shared" si="68"/>
        <v>4F西文書庫 4F Western Language Books</v>
      </c>
      <c r="P150" t="s">
        <v>64</v>
      </c>
      <c r="W150" t="str">
        <f t="shared" si="70"/>
        <v>美國國會圖書分類法</v>
      </c>
      <c r="Y150" t="str">
        <f>("RC480.5.D56")</f>
        <v>RC480.5.D56</v>
      </c>
      <c r="Z150" t="str">
        <f>("2018/08/11 13:33:59")</f>
        <v>2018/08/11 13:33:59</v>
      </c>
      <c r="AA150" t="str">
        <f t="shared" si="65"/>
        <v>catc</v>
      </c>
      <c r="AC150" t="str">
        <f>("D583")</f>
        <v>D583</v>
      </c>
      <c r="AE150" t="str">
        <f t="shared" si="71"/>
        <v>c.1</v>
      </c>
      <c r="AF150" t="str">
        <f t="shared" si="60"/>
        <v>1.可借圖書</v>
      </c>
      <c r="AG150" t="str">
        <f t="shared" si="69"/>
        <v>在架</v>
      </c>
      <c r="AI150" t="s">
        <v>65</v>
      </c>
      <c r="AK150" t="str">
        <f t="shared" si="66"/>
        <v>一般(Normal)</v>
      </c>
      <c r="AO150" t="s">
        <v>65</v>
      </c>
      <c r="AS150" t="str">
        <f>("2000.")</f>
        <v>2000.</v>
      </c>
      <c r="AT150" t="str">
        <f t="shared" si="67"/>
        <v>catc</v>
      </c>
    </row>
    <row r="151" spans="1:46" x14ac:dyDescent="0.25">
      <c r="A151">
        <v>140</v>
      </c>
      <c r="B151" t="str">
        <f>("575784")</f>
        <v>575784</v>
      </c>
      <c r="C151" t="str">
        <f>("W00002176")</f>
        <v>W00002176</v>
      </c>
      <c r="D151" t="str">
        <f>("無題名51")</f>
        <v>無題名51</v>
      </c>
      <c r="E151" t="str">
        <f>("")</f>
        <v/>
      </c>
      <c r="H151" t="str">
        <f t="shared" si="72"/>
        <v>圖書 book</v>
      </c>
      <c r="I151" t="str">
        <f>("LB1050.5 R224 1996")</f>
        <v>LB1050.5 R224 1996</v>
      </c>
      <c r="K151" t="str">
        <f>("896")</f>
        <v>896</v>
      </c>
      <c r="L151" t="str">
        <f t="shared" si="63"/>
        <v>2001/10/10 00:00:00</v>
      </c>
      <c r="M151" t="str">
        <f>("2018/12/10 15:55:18")</f>
        <v>2018/12/10 15:55:18</v>
      </c>
      <c r="N151" t="str">
        <f>("1996")</f>
        <v>1996</v>
      </c>
      <c r="O151" t="str">
        <f t="shared" si="68"/>
        <v>4F西文書庫 4F Western Language Books</v>
      </c>
      <c r="P151" t="s">
        <v>64</v>
      </c>
      <c r="W151" t="str">
        <f t="shared" si="70"/>
        <v>美國國會圖書分類法</v>
      </c>
      <c r="Y151" t="str">
        <f>("LB1050.5")</f>
        <v>LB1050.5</v>
      </c>
      <c r="Z151" t="str">
        <f>("2018/12/10 15:55:18")</f>
        <v>2018/12/10 15:55:18</v>
      </c>
      <c r="AA151" t="str">
        <f t="shared" si="65"/>
        <v>catc</v>
      </c>
      <c r="AC151" t="str">
        <f>("R224")</f>
        <v>R224</v>
      </c>
      <c r="AE151" t="str">
        <f t="shared" si="71"/>
        <v>c.1</v>
      </c>
      <c r="AF151" t="str">
        <f t="shared" si="60"/>
        <v>1.可借圖書</v>
      </c>
      <c r="AG151" t="str">
        <f t="shared" si="69"/>
        <v>在架</v>
      </c>
      <c r="AI151" t="s">
        <v>65</v>
      </c>
      <c r="AK151" t="str">
        <f t="shared" si="66"/>
        <v>一般(Normal)</v>
      </c>
      <c r="AO151" t="s">
        <v>65</v>
      </c>
      <c r="AT151" t="str">
        <f t="shared" si="67"/>
        <v>catc</v>
      </c>
    </row>
    <row r="152" spans="1:46" x14ac:dyDescent="0.25">
      <c r="A152">
        <v>141</v>
      </c>
      <c r="B152" t="str">
        <f>("289058")</f>
        <v>289058</v>
      </c>
      <c r="C152" t="str">
        <f>("W00002177")</f>
        <v>W00002177</v>
      </c>
      <c r="D152" t="str">
        <f>("Entrepreneurship: globalization, innovation and development / ")</f>
        <v xml:space="preserve">Entrepreneurship: globalization, innovation and development / </v>
      </c>
      <c r="E152" t="str">
        <f>("Chell, Elizabeth")</f>
        <v>Chell, Elizabeth</v>
      </c>
      <c r="F152" t="str">
        <f>("Thomson Learning, ")</f>
        <v xml:space="preserve">Thomson Learning, </v>
      </c>
      <c r="G152" t="str">
        <f>("1st ed.")</f>
        <v>1st ed.</v>
      </c>
      <c r="H152" t="str">
        <f t="shared" si="72"/>
        <v>圖書 book</v>
      </c>
      <c r="I152" t="str">
        <f>("HD62.5 C516 2001")</f>
        <v>HD62.5 C516 2001</v>
      </c>
      <c r="J152" t="str">
        <f>("1861523181")</f>
        <v>1861523181</v>
      </c>
      <c r="K152" t="str">
        <f>("1100")</f>
        <v>1100</v>
      </c>
      <c r="L152" t="str">
        <f t="shared" si="63"/>
        <v>2001/10/10 00:00:00</v>
      </c>
      <c r="M152" t="str">
        <f t="shared" ref="M152:M160" si="73">("2018/08/11 13:33:59")</f>
        <v>2018/08/11 13:33:59</v>
      </c>
      <c r="N152" t="str">
        <f>("2001")</f>
        <v>2001</v>
      </c>
      <c r="O152" t="str">
        <f t="shared" si="68"/>
        <v>4F西文書庫 4F Western Language Books</v>
      </c>
      <c r="P152" t="s">
        <v>64</v>
      </c>
      <c r="W152" t="str">
        <f t="shared" si="70"/>
        <v>美國國會圖書分類法</v>
      </c>
      <c r="Y152" t="str">
        <f>("HD62.5")</f>
        <v>HD62.5</v>
      </c>
      <c r="Z152" t="str">
        <f t="shared" ref="Z152:Z160" si="74">("2018/08/11 13:33:59")</f>
        <v>2018/08/11 13:33:59</v>
      </c>
      <c r="AA152" t="str">
        <f t="shared" si="65"/>
        <v>catc</v>
      </c>
      <c r="AC152" t="str">
        <f>("C516")</f>
        <v>C516</v>
      </c>
      <c r="AE152" t="str">
        <f t="shared" si="71"/>
        <v>c.1</v>
      </c>
      <c r="AF152" t="str">
        <f t="shared" si="60"/>
        <v>1.可借圖書</v>
      </c>
      <c r="AG152" t="str">
        <f t="shared" si="69"/>
        <v>在架</v>
      </c>
      <c r="AI152" t="s">
        <v>65</v>
      </c>
      <c r="AK152" t="str">
        <f t="shared" si="66"/>
        <v>一般(Normal)</v>
      </c>
      <c r="AO152" t="s">
        <v>65</v>
      </c>
      <c r="AS152" t="str">
        <f>("2001.")</f>
        <v>2001.</v>
      </c>
      <c r="AT152" t="str">
        <f t="shared" si="67"/>
        <v>catc</v>
      </c>
    </row>
    <row r="153" spans="1:46" x14ac:dyDescent="0.25">
      <c r="A153">
        <v>142</v>
      </c>
      <c r="B153" t="str">
        <f>("289059")</f>
        <v>289059</v>
      </c>
      <c r="C153" t="str">
        <f>("W00002178")</f>
        <v>W00002178</v>
      </c>
      <c r="D153" t="str">
        <f>("Making Six Sigma last : managing the balance between cultural and technical change / ")</f>
        <v xml:space="preserve">Making Six Sigma last : managing the balance between cultural and technical change / </v>
      </c>
      <c r="E153" t="str">
        <f>("Eckes, George, 1954- ")</f>
        <v xml:space="preserve">Eckes, George, 1954- </v>
      </c>
      <c r="F153" t="str">
        <f>("John Wiley, ")</f>
        <v xml:space="preserve">John Wiley, </v>
      </c>
      <c r="H153" t="str">
        <f t="shared" si="72"/>
        <v>圖書 book</v>
      </c>
      <c r="I153" t="str">
        <f>("HD58.8 E19 2001")</f>
        <v>HD58.8 E19 2001</v>
      </c>
      <c r="J153" t="str">
        <f>("0471415480")</f>
        <v>0471415480</v>
      </c>
      <c r="K153" t="str">
        <f>("908")</f>
        <v>908</v>
      </c>
      <c r="L153" t="str">
        <f t="shared" si="63"/>
        <v>2001/10/10 00:00:00</v>
      </c>
      <c r="M153" t="str">
        <f t="shared" si="73"/>
        <v>2018/08/11 13:33:59</v>
      </c>
      <c r="N153" t="str">
        <f>("2001")</f>
        <v>2001</v>
      </c>
      <c r="O153" t="str">
        <f t="shared" si="68"/>
        <v>4F西文書庫 4F Western Language Books</v>
      </c>
      <c r="P153" t="s">
        <v>64</v>
      </c>
      <c r="W153" t="str">
        <f t="shared" si="70"/>
        <v>美國國會圖書分類法</v>
      </c>
      <c r="Y153" t="str">
        <f>("HD58.8")</f>
        <v>HD58.8</v>
      </c>
      <c r="Z153" t="str">
        <f t="shared" si="74"/>
        <v>2018/08/11 13:33:59</v>
      </c>
      <c r="AA153" t="str">
        <f t="shared" si="65"/>
        <v>catc</v>
      </c>
      <c r="AC153" t="str">
        <f>("E19")</f>
        <v>E19</v>
      </c>
      <c r="AE153" t="str">
        <f t="shared" si="71"/>
        <v>c.1</v>
      </c>
      <c r="AF153" t="str">
        <f t="shared" si="60"/>
        <v>1.可借圖書</v>
      </c>
      <c r="AG153" t="str">
        <f t="shared" si="69"/>
        <v>在架</v>
      </c>
      <c r="AI153" t="s">
        <v>65</v>
      </c>
      <c r="AK153" t="str">
        <f t="shared" si="66"/>
        <v>一般(Normal)</v>
      </c>
      <c r="AO153" t="s">
        <v>65</v>
      </c>
      <c r="AS153" t="str">
        <f>("c2001. ")</f>
        <v xml:space="preserve">c2001. </v>
      </c>
      <c r="AT153" t="str">
        <f t="shared" si="67"/>
        <v>catc</v>
      </c>
    </row>
    <row r="154" spans="1:46" x14ac:dyDescent="0.25">
      <c r="A154">
        <v>143</v>
      </c>
      <c r="B154" t="str">
        <f>("289060")</f>
        <v>289060</v>
      </c>
      <c r="C154" t="str">
        <f>("W00002179")</f>
        <v>W00002179</v>
      </c>
      <c r="D154" t="str">
        <f>("USMLE step 1 review:1200 questions &amp; answers")</f>
        <v>USMLE step 1 review:1200 questions &amp; answers</v>
      </c>
      <c r="E154" t="str">
        <f>("Fayemi, Alfred Olusegun ")</f>
        <v xml:space="preserve">Fayemi, Alfred Olusegun </v>
      </c>
      <c r="F154" t="str">
        <f>("Appleton &amp; Lange; MEPC,")</f>
        <v>Appleton &amp; Lange; MEPC,</v>
      </c>
      <c r="G154" t="str">
        <f>("1st ed ")</f>
        <v xml:space="preserve">1st ed </v>
      </c>
      <c r="H154" t="str">
        <f t="shared" si="72"/>
        <v>圖書 book</v>
      </c>
      <c r="I154" t="str">
        <f>("QP355.2 F283 2000")</f>
        <v>QP355.2 F283 2000</v>
      </c>
      <c r="J154" t="str">
        <f>("0838563309")</f>
        <v>0838563309</v>
      </c>
      <c r="K154" t="str">
        <f>("556")</f>
        <v>556</v>
      </c>
      <c r="L154" t="str">
        <f t="shared" si="63"/>
        <v>2001/10/10 00:00:00</v>
      </c>
      <c r="M154" t="str">
        <f t="shared" si="73"/>
        <v>2018/08/11 13:33:59</v>
      </c>
      <c r="N154" t="str">
        <f>("2000")</f>
        <v>2000</v>
      </c>
      <c r="O154" t="str">
        <f t="shared" si="68"/>
        <v>4F西文書庫 4F Western Language Books</v>
      </c>
      <c r="P154" t="s">
        <v>64</v>
      </c>
      <c r="W154" t="str">
        <f t="shared" si="70"/>
        <v>美國國會圖書分類法</v>
      </c>
      <c r="Y154" t="str">
        <f>("QP355.2")</f>
        <v>QP355.2</v>
      </c>
      <c r="Z154" t="str">
        <f t="shared" si="74"/>
        <v>2018/08/11 13:33:59</v>
      </c>
      <c r="AA154" t="str">
        <f t="shared" si="65"/>
        <v>catc</v>
      </c>
      <c r="AC154" t="str">
        <f>("F283")</f>
        <v>F283</v>
      </c>
      <c r="AE154" t="str">
        <f t="shared" si="71"/>
        <v>c.1</v>
      </c>
      <c r="AF154" t="str">
        <f t="shared" si="60"/>
        <v>1.可借圖書</v>
      </c>
      <c r="AG154" t="str">
        <f t="shared" si="69"/>
        <v>在架</v>
      </c>
      <c r="AI154" t="s">
        <v>65</v>
      </c>
      <c r="AK154" t="str">
        <f t="shared" si="66"/>
        <v>一般(Normal)</v>
      </c>
      <c r="AO154" t="s">
        <v>65</v>
      </c>
      <c r="AS154" t="str">
        <f>("c1996 ")</f>
        <v xml:space="preserve">c1996 </v>
      </c>
      <c r="AT154" t="str">
        <f t="shared" si="67"/>
        <v>catc</v>
      </c>
    </row>
    <row r="155" spans="1:46" x14ac:dyDescent="0.25">
      <c r="A155">
        <v>144</v>
      </c>
      <c r="B155" t="str">
        <f>("289081")</f>
        <v>289081</v>
      </c>
      <c r="C155" t="str">
        <f>("W00002180")</f>
        <v>W00002180</v>
      </c>
      <c r="D155" t="str">
        <f>("Business economics(2nd) / ")</f>
        <v xml:space="preserve">Business economics(2nd) / </v>
      </c>
      <c r="E155" t="str">
        <f>("Moschandreas, Maria ")</f>
        <v xml:space="preserve">Moschandreas, Maria </v>
      </c>
      <c r="F155" t="str">
        <f>("Thomson Learning, ")</f>
        <v xml:space="preserve">Thomson Learning, </v>
      </c>
      <c r="G155" t="str">
        <f>("2nd ed.")</f>
        <v>2nd ed.</v>
      </c>
      <c r="H155" t="str">
        <f t="shared" si="72"/>
        <v>圖書 book</v>
      </c>
      <c r="I155" t="str">
        <f>("HB171 M895 2000")</f>
        <v>HB171 M895 2000</v>
      </c>
      <c r="J155" t="str">
        <f>("1861523998")</f>
        <v>1861523998</v>
      </c>
      <c r="K155" t="str">
        <f>("1068")</f>
        <v>1068</v>
      </c>
      <c r="L155" t="str">
        <f t="shared" si="63"/>
        <v>2001/10/10 00:00:00</v>
      </c>
      <c r="M155" t="str">
        <f t="shared" si="73"/>
        <v>2018/08/11 13:33:59</v>
      </c>
      <c r="N155" t="str">
        <f>("2000")</f>
        <v>2000</v>
      </c>
      <c r="O155" t="str">
        <f t="shared" si="68"/>
        <v>4F西文書庫 4F Western Language Books</v>
      </c>
      <c r="P155" t="s">
        <v>64</v>
      </c>
      <c r="W155" t="str">
        <f t="shared" si="70"/>
        <v>美國國會圖書分類法</v>
      </c>
      <c r="Y155" t="str">
        <f>("HB171")</f>
        <v>HB171</v>
      </c>
      <c r="Z155" t="str">
        <f t="shared" si="74"/>
        <v>2018/08/11 13:33:59</v>
      </c>
      <c r="AA155" t="str">
        <f t="shared" si="65"/>
        <v>catc</v>
      </c>
      <c r="AC155" t="str">
        <f>("M895")</f>
        <v>M895</v>
      </c>
      <c r="AE155" t="str">
        <f t="shared" si="71"/>
        <v>c.1</v>
      </c>
      <c r="AF155" t="str">
        <f t="shared" si="60"/>
        <v>1.可借圖書</v>
      </c>
      <c r="AG155" t="str">
        <f t="shared" si="69"/>
        <v>在架</v>
      </c>
      <c r="AI155" t="s">
        <v>65</v>
      </c>
      <c r="AK155" t="str">
        <f t="shared" si="66"/>
        <v>一般(Normal)</v>
      </c>
      <c r="AO155" t="s">
        <v>65</v>
      </c>
      <c r="AS155" t="str">
        <f>("2000.")</f>
        <v>2000.</v>
      </c>
      <c r="AT155" t="str">
        <f t="shared" si="67"/>
        <v>catc</v>
      </c>
    </row>
    <row r="156" spans="1:46" x14ac:dyDescent="0.25">
      <c r="A156">
        <v>145</v>
      </c>
      <c r="B156" t="str">
        <f>("289082")</f>
        <v>289082</v>
      </c>
      <c r="C156" t="str">
        <f>("W00002181")</f>
        <v>W00002181</v>
      </c>
      <c r="D156" t="str">
        <f>("the art of .com bat ancient wisdom for the competitive econompy/ ")</f>
        <v xml:space="preserve">the art of .com bat ancient wisdom for the competitive econompy/ </v>
      </c>
      <c r="E156" t="str">
        <f>("McCarthy, Shawn P. ")</f>
        <v xml:space="preserve">McCarthy, Shawn P. </v>
      </c>
      <c r="F156" t="str">
        <f>("John Wiley &amp; Sons, ")</f>
        <v xml:space="preserve">John Wiley &amp; Sons, </v>
      </c>
      <c r="G156" t="str">
        <f>("1st ed.")</f>
        <v>1st ed.</v>
      </c>
      <c r="H156" t="str">
        <f t="shared" si="72"/>
        <v>圖書 book</v>
      </c>
      <c r="I156" t="str">
        <f>("HF568.1 M113 2001")</f>
        <v>HF568.1 M113 2001</v>
      </c>
      <c r="J156" t="str">
        <f>("0471415197")</f>
        <v>0471415197</v>
      </c>
      <c r="K156" t="str">
        <f>("760")</f>
        <v>760</v>
      </c>
      <c r="L156" t="str">
        <f t="shared" si="63"/>
        <v>2001/10/10 00:00:00</v>
      </c>
      <c r="M156" t="str">
        <f t="shared" si="73"/>
        <v>2018/08/11 13:33:59</v>
      </c>
      <c r="N156" t="str">
        <f>("2001")</f>
        <v>2001</v>
      </c>
      <c r="O156" t="str">
        <f t="shared" si="68"/>
        <v>4F西文書庫 4F Western Language Books</v>
      </c>
      <c r="P156" t="s">
        <v>64</v>
      </c>
      <c r="W156" t="str">
        <f t="shared" si="70"/>
        <v>美國國會圖書分類法</v>
      </c>
      <c r="Y156" t="str">
        <f>("HF568.1")</f>
        <v>HF568.1</v>
      </c>
      <c r="Z156" t="str">
        <f t="shared" si="74"/>
        <v>2018/08/11 13:33:59</v>
      </c>
      <c r="AA156" t="str">
        <f t="shared" si="65"/>
        <v>catc</v>
      </c>
      <c r="AC156" t="str">
        <f>("M113")</f>
        <v>M113</v>
      </c>
      <c r="AE156" t="str">
        <f t="shared" si="71"/>
        <v>c.1</v>
      </c>
      <c r="AF156" t="str">
        <f t="shared" si="60"/>
        <v>1.可借圖書</v>
      </c>
      <c r="AG156" t="str">
        <f t="shared" si="69"/>
        <v>在架</v>
      </c>
      <c r="AI156" t="s">
        <v>65</v>
      </c>
      <c r="AK156" t="str">
        <f t="shared" si="66"/>
        <v>一般(Normal)</v>
      </c>
      <c r="AO156" t="s">
        <v>65</v>
      </c>
      <c r="AS156" t="str">
        <f>("2001.")</f>
        <v>2001.</v>
      </c>
      <c r="AT156" t="str">
        <f t="shared" si="67"/>
        <v>catc</v>
      </c>
    </row>
    <row r="157" spans="1:46" x14ac:dyDescent="0.25">
      <c r="A157">
        <v>146</v>
      </c>
      <c r="B157" t="str">
        <f>("289066")</f>
        <v>289066</v>
      </c>
      <c r="C157" t="str">
        <f>("W00002182")</f>
        <v>W00002182</v>
      </c>
      <c r="D157" t="str">
        <f>("Financial market analysis / ")</f>
        <v xml:space="preserve">Financial market analysis / </v>
      </c>
      <c r="E157" t="str">
        <f>("Blake, David")</f>
        <v>Blake, David</v>
      </c>
      <c r="F157" t="str">
        <f>("Wiley, ")</f>
        <v xml:space="preserve">Wiley, </v>
      </c>
      <c r="G157" t="str">
        <f>("2nd ed.")</f>
        <v>2nd ed.</v>
      </c>
      <c r="H157" t="str">
        <f t="shared" si="72"/>
        <v>圖書 book</v>
      </c>
      <c r="I157" t="str">
        <f>("HG186.G7 B636 2000")</f>
        <v>HG186.G7 B636 2000</v>
      </c>
      <c r="J157" t="str">
        <f>("047187728X")</f>
        <v>047187728X</v>
      </c>
      <c r="K157" t="str">
        <f>("1216")</f>
        <v>1216</v>
      </c>
      <c r="L157" t="str">
        <f t="shared" si="63"/>
        <v>2001/10/10 00:00:00</v>
      </c>
      <c r="M157" t="str">
        <f t="shared" si="73"/>
        <v>2018/08/11 13:33:59</v>
      </c>
      <c r="N157" t="str">
        <f>("2000")</f>
        <v>2000</v>
      </c>
      <c r="O157" t="str">
        <f t="shared" si="68"/>
        <v>4F西文書庫 4F Western Language Books</v>
      </c>
      <c r="P157" t="s">
        <v>64</v>
      </c>
      <c r="W157" t="str">
        <f t="shared" si="70"/>
        <v>美國國會圖書分類法</v>
      </c>
      <c r="Y157" t="str">
        <f>("HG186.G7")</f>
        <v>HG186.G7</v>
      </c>
      <c r="Z157" t="str">
        <f t="shared" si="74"/>
        <v>2018/08/11 13:33:59</v>
      </c>
      <c r="AA157" t="str">
        <f t="shared" si="65"/>
        <v>catc</v>
      </c>
      <c r="AC157" t="str">
        <f>("B636")</f>
        <v>B636</v>
      </c>
      <c r="AE157" t="str">
        <f t="shared" si="71"/>
        <v>c.1</v>
      </c>
      <c r="AF157" t="str">
        <f t="shared" si="60"/>
        <v>1.可借圖書</v>
      </c>
      <c r="AG157" t="str">
        <f t="shared" si="69"/>
        <v>在架</v>
      </c>
      <c r="AI157" t="s">
        <v>65</v>
      </c>
      <c r="AK157" t="str">
        <f t="shared" si="66"/>
        <v>一般(Normal)</v>
      </c>
      <c r="AO157" t="s">
        <v>65</v>
      </c>
      <c r="AS157" t="str">
        <f>("2000.")</f>
        <v>2000.</v>
      </c>
      <c r="AT157" t="str">
        <f t="shared" si="67"/>
        <v>catc</v>
      </c>
    </row>
    <row r="158" spans="1:46" x14ac:dyDescent="0.25">
      <c r="A158">
        <v>147</v>
      </c>
      <c r="B158" t="str">
        <f>("289067")</f>
        <v>289067</v>
      </c>
      <c r="C158" t="str">
        <f>("W00002183")</f>
        <v>W00002183</v>
      </c>
      <c r="D158" t="str">
        <f>("Registry review in computed tomography /")</f>
        <v>Registry review in computed tomography /</v>
      </c>
      <c r="E158" t="str">
        <f>("DeMaio, Daniel N. ")</f>
        <v xml:space="preserve">DeMaio, Daniel N. </v>
      </c>
      <c r="F158" t="str">
        <f>("W.B. Saunders,")</f>
        <v>W.B. Saunders,</v>
      </c>
      <c r="H158" t="str">
        <f t="shared" si="72"/>
        <v>圖書 book</v>
      </c>
      <c r="I158" t="str">
        <f>("RC78.7.T6 D369 1996")</f>
        <v>RC78.7.T6 D369 1996</v>
      </c>
      <c r="J158" t="str">
        <f>("0721662854")</f>
        <v>0721662854</v>
      </c>
      <c r="K158" t="str">
        <f>("812")</f>
        <v>812</v>
      </c>
      <c r="L158" t="str">
        <f t="shared" si="63"/>
        <v>2001/10/10 00:00:00</v>
      </c>
      <c r="M158" t="str">
        <f t="shared" si="73"/>
        <v>2018/08/11 13:33:59</v>
      </c>
      <c r="N158" t="str">
        <f>("1996")</f>
        <v>1996</v>
      </c>
      <c r="O158" t="str">
        <f t="shared" si="68"/>
        <v>4F西文書庫 4F Western Language Books</v>
      </c>
      <c r="P158" t="s">
        <v>64</v>
      </c>
      <c r="W158" t="str">
        <f t="shared" si="70"/>
        <v>美國國會圖書分類法</v>
      </c>
      <c r="Y158" t="str">
        <f>("RC78.7.T6")</f>
        <v>RC78.7.T6</v>
      </c>
      <c r="Z158" t="str">
        <f t="shared" si="74"/>
        <v>2018/08/11 13:33:59</v>
      </c>
      <c r="AA158" t="str">
        <f t="shared" si="65"/>
        <v>catc</v>
      </c>
      <c r="AC158" t="str">
        <f>("D369")</f>
        <v>D369</v>
      </c>
      <c r="AE158" t="str">
        <f t="shared" si="71"/>
        <v>c.1</v>
      </c>
      <c r="AF158" t="str">
        <f t="shared" si="60"/>
        <v>1.可借圖書</v>
      </c>
      <c r="AG158" t="str">
        <f t="shared" si="69"/>
        <v>在架</v>
      </c>
      <c r="AI158" t="s">
        <v>65</v>
      </c>
      <c r="AK158" t="str">
        <f t="shared" si="66"/>
        <v>一般(Normal)</v>
      </c>
      <c r="AO158" t="s">
        <v>65</v>
      </c>
      <c r="AS158" t="str">
        <f>("c1996. ")</f>
        <v xml:space="preserve">c1996. </v>
      </c>
      <c r="AT158" t="str">
        <f t="shared" si="67"/>
        <v>catc</v>
      </c>
    </row>
    <row r="159" spans="1:46" x14ac:dyDescent="0.25">
      <c r="A159">
        <v>148</v>
      </c>
      <c r="B159" t="str">
        <f>("289068")</f>
        <v>289068</v>
      </c>
      <c r="C159" t="str">
        <f>("W00002184")</f>
        <v>W00002184</v>
      </c>
      <c r="D159" t="str">
        <f>("Treatment planning &amp; dose calculation in radiation oncology / ")</f>
        <v xml:space="preserve">Treatment planning &amp; dose calculation in radiation oncology / </v>
      </c>
      <c r="E159" t="str">
        <f>("Bentel, Gunilla Carleson")</f>
        <v>Bentel, Gunilla Carleson</v>
      </c>
      <c r="F159" t="str">
        <f>("McGraw-Hill, ")</f>
        <v xml:space="preserve">McGraw-Hill, </v>
      </c>
      <c r="G159" t="str">
        <f>("4th ed.")</f>
        <v>4th ed.</v>
      </c>
      <c r="H159" t="str">
        <f t="shared" si="72"/>
        <v>圖書 book</v>
      </c>
      <c r="I159" t="str">
        <f>("RC271.R3 B475 1989")</f>
        <v>RC271.R3 B475 1989</v>
      </c>
      <c r="J159" t="str">
        <f>("0071052461")</f>
        <v>0071052461</v>
      </c>
      <c r="K159" t="str">
        <f>("1176")</f>
        <v>1176</v>
      </c>
      <c r="L159" t="str">
        <f t="shared" si="63"/>
        <v>2001/10/10 00:00:00</v>
      </c>
      <c r="M159" t="str">
        <f t="shared" si="73"/>
        <v>2018/08/11 13:33:59</v>
      </c>
      <c r="N159" t="str">
        <f>("1989")</f>
        <v>1989</v>
      </c>
      <c r="O159" t="str">
        <f t="shared" si="68"/>
        <v>4F西文書庫 4F Western Language Books</v>
      </c>
      <c r="P159" t="s">
        <v>64</v>
      </c>
      <c r="W159" t="str">
        <f t="shared" si="70"/>
        <v>美國國會圖書分類法</v>
      </c>
      <c r="Y159" t="str">
        <f>("RC271.R3")</f>
        <v>RC271.R3</v>
      </c>
      <c r="Z159" t="str">
        <f t="shared" si="74"/>
        <v>2018/08/11 13:33:59</v>
      </c>
      <c r="AA159" t="str">
        <f t="shared" si="65"/>
        <v>catc</v>
      </c>
      <c r="AC159" t="str">
        <f>("B475")</f>
        <v>B475</v>
      </c>
      <c r="AE159" t="str">
        <f t="shared" si="71"/>
        <v>c.1</v>
      </c>
      <c r="AF159" t="str">
        <f t="shared" si="60"/>
        <v>1.可借圖書</v>
      </c>
      <c r="AG159" t="str">
        <f t="shared" si="69"/>
        <v>在架</v>
      </c>
      <c r="AI159" t="s">
        <v>65</v>
      </c>
      <c r="AK159" t="str">
        <f t="shared" si="66"/>
        <v>一般(Normal)</v>
      </c>
      <c r="AO159" t="s">
        <v>65</v>
      </c>
      <c r="AS159" t="str">
        <f>("c1989.")</f>
        <v>c1989.</v>
      </c>
      <c r="AT159" t="str">
        <f t="shared" si="67"/>
        <v>catc</v>
      </c>
    </row>
    <row r="160" spans="1:46" x14ac:dyDescent="0.25">
      <c r="A160">
        <v>149</v>
      </c>
      <c r="B160" t="str">
        <f>("289069")</f>
        <v>289069</v>
      </c>
      <c r="C160" t="str">
        <f>("W00002185")</f>
        <v>W00002185</v>
      </c>
      <c r="D160" t="str">
        <f>("Social work practice with groups :a clinical perspective /")</f>
        <v>Social work practice with groups :a clinical perspective /</v>
      </c>
      <c r="E160" t="str">
        <f>("Reid, Kenneth E. ")</f>
        <v xml:space="preserve">Reid, Kenneth E. </v>
      </c>
      <c r="F160" t="str">
        <f>("Brooks/Cole Pub. Co.,")</f>
        <v>Brooks/Cole Pub. Co.,</v>
      </c>
      <c r="G160" t="str">
        <f>("2nd ed. ")</f>
        <v xml:space="preserve">2nd ed. </v>
      </c>
      <c r="H160" t="str">
        <f t="shared" si="72"/>
        <v>圖書 book</v>
      </c>
      <c r="I160" t="str">
        <f>("HV689 R353 1997")</f>
        <v>HV689 R353 1997</v>
      </c>
      <c r="J160" t="str">
        <f>("0534345484")</f>
        <v>0534345484</v>
      </c>
      <c r="K160" t="str">
        <f>("1308")</f>
        <v>1308</v>
      </c>
      <c r="L160" t="str">
        <f t="shared" si="63"/>
        <v>2001/10/10 00:00:00</v>
      </c>
      <c r="M160" t="str">
        <f t="shared" si="73"/>
        <v>2018/08/11 13:33:59</v>
      </c>
      <c r="N160" t="str">
        <f>("1997")</f>
        <v>1997</v>
      </c>
      <c r="O160" t="str">
        <f t="shared" si="68"/>
        <v>4F西文書庫 4F Western Language Books</v>
      </c>
      <c r="P160" t="s">
        <v>64</v>
      </c>
      <c r="W160" t="str">
        <f t="shared" si="70"/>
        <v>美國國會圖書分類法</v>
      </c>
      <c r="Y160" t="str">
        <f>("HV689")</f>
        <v>HV689</v>
      </c>
      <c r="Z160" t="str">
        <f t="shared" si="74"/>
        <v>2018/08/11 13:33:59</v>
      </c>
      <c r="AA160" t="str">
        <f t="shared" si="65"/>
        <v>catc</v>
      </c>
      <c r="AC160" t="str">
        <f>("R353")</f>
        <v>R353</v>
      </c>
      <c r="AE160" t="str">
        <f t="shared" si="71"/>
        <v>c.1</v>
      </c>
      <c r="AF160" t="str">
        <f t="shared" si="60"/>
        <v>1.可借圖書</v>
      </c>
      <c r="AG160" t="str">
        <f t="shared" si="69"/>
        <v>在架</v>
      </c>
      <c r="AI160" t="s">
        <v>65</v>
      </c>
      <c r="AK160" t="str">
        <f t="shared" si="66"/>
        <v>一般(Normal)</v>
      </c>
      <c r="AO160" t="s">
        <v>65</v>
      </c>
      <c r="AS160" t="str">
        <f>("c1997. ")</f>
        <v xml:space="preserve">c1997. </v>
      </c>
      <c r="AT160" t="str">
        <f t="shared" si="67"/>
        <v>catc</v>
      </c>
    </row>
    <row r="161" spans="1:46" x14ac:dyDescent="0.25">
      <c r="A161">
        <v>150</v>
      </c>
      <c r="B161" t="str">
        <f>("289070")</f>
        <v>289070</v>
      </c>
      <c r="C161" t="str">
        <f>("W00002186")</f>
        <v>W00002186</v>
      </c>
      <c r="D161" t="str">
        <f>("Structural analysis :a unified classical and matrix approach /")</f>
        <v>Structural analysis :a unified classical and matrix approach /</v>
      </c>
      <c r="E161" t="str">
        <f>("Ghali, A.")</f>
        <v>Ghali, A.</v>
      </c>
      <c r="F161" t="str">
        <f>("E &amp; FN Spon,")</f>
        <v>E &amp; FN Spon,</v>
      </c>
      <c r="G161" t="str">
        <f>("4th ed. ")</f>
        <v xml:space="preserve">4th ed. </v>
      </c>
      <c r="H161" t="str">
        <f t="shared" si="72"/>
        <v>圖書 book</v>
      </c>
      <c r="I161" t="str">
        <f>("TA645 G411 1997")</f>
        <v>TA645 G411 1997</v>
      </c>
      <c r="J161" t="str">
        <f>("0419212000")</f>
        <v>0419212000</v>
      </c>
      <c r="K161" t="str">
        <f>("1392")</f>
        <v>1392</v>
      </c>
      <c r="L161" t="str">
        <f t="shared" si="63"/>
        <v>2001/10/10 00:00:00</v>
      </c>
      <c r="M161" t="str">
        <f t="shared" ref="M161:M170" si="75">("2018/08/11 13:34:00")</f>
        <v>2018/08/11 13:34:00</v>
      </c>
      <c r="N161" t="str">
        <f>("1997")</f>
        <v>1997</v>
      </c>
      <c r="O161" t="str">
        <f t="shared" si="68"/>
        <v>4F西文書庫 4F Western Language Books</v>
      </c>
      <c r="P161" t="s">
        <v>64</v>
      </c>
      <c r="W161" t="str">
        <f t="shared" si="70"/>
        <v>美國國會圖書分類法</v>
      </c>
      <c r="Y161" t="str">
        <f>("TA645")</f>
        <v>TA645</v>
      </c>
      <c r="Z161" t="str">
        <f t="shared" ref="Z161:Z171" si="76">("2018/08/11 13:34:00")</f>
        <v>2018/08/11 13:34:00</v>
      </c>
      <c r="AA161" t="str">
        <f t="shared" si="65"/>
        <v>catc</v>
      </c>
      <c r="AC161" t="str">
        <f>("G411")</f>
        <v>G411</v>
      </c>
      <c r="AE161" t="str">
        <f t="shared" si="71"/>
        <v>c.1</v>
      </c>
      <c r="AF161" t="str">
        <f t="shared" si="60"/>
        <v>1.可借圖書</v>
      </c>
      <c r="AG161" t="str">
        <f t="shared" si="69"/>
        <v>在架</v>
      </c>
      <c r="AI161" t="s">
        <v>65</v>
      </c>
      <c r="AK161" t="str">
        <f t="shared" si="66"/>
        <v>一般(Normal)</v>
      </c>
      <c r="AO161" t="s">
        <v>65</v>
      </c>
      <c r="AS161" t="str">
        <f>("1997. ")</f>
        <v xml:space="preserve">1997. </v>
      </c>
      <c r="AT161" t="str">
        <f t="shared" si="67"/>
        <v>catc</v>
      </c>
    </row>
    <row r="162" spans="1:46" x14ac:dyDescent="0.25">
      <c r="A162">
        <v>151</v>
      </c>
      <c r="B162" t="str">
        <f>("289083")</f>
        <v>289083</v>
      </c>
      <c r="C162" t="str">
        <f>("W00002187")</f>
        <v>W00002187</v>
      </c>
      <c r="D162" t="str">
        <f>("Barron's guide to making investment decisions /")</f>
        <v>Barron's guide to making investment decisions /</v>
      </c>
      <c r="E162" t="str">
        <f>("Sease, Douglas. ")</f>
        <v xml:space="preserve">Sease, Douglas. </v>
      </c>
      <c r="F162" t="str">
        <f>("New York Institute of Finance,")</f>
        <v>New York Institute of Finance,</v>
      </c>
      <c r="G162" t="str">
        <f>("Rev. and expanded ")</f>
        <v xml:space="preserve">Rev. and expanded </v>
      </c>
      <c r="H162" t="str">
        <f t="shared" si="72"/>
        <v>圖書 book</v>
      </c>
      <c r="I162" t="str">
        <f>("HG4527 S438 1999")</f>
        <v>HG4527 S438 1999</v>
      </c>
      <c r="J162" t="str">
        <f>("0735200440;0137985304;0130116084")</f>
        <v>0735200440;0137985304;0130116084</v>
      </c>
      <c r="K162" t="str">
        <f>("448")</f>
        <v>448</v>
      </c>
      <c r="L162" t="str">
        <f t="shared" si="63"/>
        <v>2001/10/10 00:00:00</v>
      </c>
      <c r="M162" t="str">
        <f t="shared" si="75"/>
        <v>2018/08/11 13:34:00</v>
      </c>
      <c r="N162" t="str">
        <f>("1999")</f>
        <v>1999</v>
      </c>
      <c r="O162" t="str">
        <f t="shared" si="68"/>
        <v>4F西文書庫 4F Western Language Books</v>
      </c>
      <c r="P162" t="s">
        <v>64</v>
      </c>
      <c r="W162" t="str">
        <f t="shared" si="70"/>
        <v>美國國會圖書分類法</v>
      </c>
      <c r="Y162" t="str">
        <f>("HG4527")</f>
        <v>HG4527</v>
      </c>
      <c r="Z162" t="str">
        <f t="shared" si="76"/>
        <v>2018/08/11 13:34:00</v>
      </c>
      <c r="AA162" t="str">
        <f t="shared" si="65"/>
        <v>catc</v>
      </c>
      <c r="AC162" t="str">
        <f>("S438")</f>
        <v>S438</v>
      </c>
      <c r="AE162" t="str">
        <f t="shared" si="71"/>
        <v>c.1</v>
      </c>
      <c r="AF162" t="str">
        <f t="shared" si="60"/>
        <v>1.可借圖書</v>
      </c>
      <c r="AG162" t="str">
        <f t="shared" si="69"/>
        <v>在架</v>
      </c>
      <c r="AI162" t="s">
        <v>65</v>
      </c>
      <c r="AK162" t="str">
        <f t="shared" si="66"/>
        <v>一般(Normal)</v>
      </c>
      <c r="AO162" t="s">
        <v>65</v>
      </c>
      <c r="AS162" t="str">
        <f>("c1999. ")</f>
        <v xml:space="preserve">c1999. </v>
      </c>
      <c r="AT162" t="str">
        <f t="shared" si="67"/>
        <v>catc</v>
      </c>
    </row>
    <row r="163" spans="1:46" x14ac:dyDescent="0.25">
      <c r="A163">
        <v>152</v>
      </c>
      <c r="B163" t="str">
        <f>("289084")</f>
        <v>289084</v>
      </c>
      <c r="C163" t="str">
        <f>("W00002188")</f>
        <v>W00002188</v>
      </c>
      <c r="D163" t="str">
        <f>("Research designs /")</f>
        <v>Research designs /</v>
      </c>
      <c r="E163" t="str">
        <f>("Spector, Paul E. ")</f>
        <v xml:space="preserve">Spector, Paul E. </v>
      </c>
      <c r="F163" t="str">
        <f>("Sage Publications,")</f>
        <v>Sage Publications,</v>
      </c>
      <c r="H163" t="str">
        <f t="shared" si="72"/>
        <v>圖書 book</v>
      </c>
      <c r="I163" t="str">
        <f>("H62 S741 1981")</f>
        <v>H62 S741 1981</v>
      </c>
      <c r="J163" t="str">
        <f>("0803917090")</f>
        <v>0803917090</v>
      </c>
      <c r="K163" t="str">
        <f>("396")</f>
        <v>396</v>
      </c>
      <c r="L163" t="str">
        <f t="shared" si="63"/>
        <v>2001/10/10 00:00:00</v>
      </c>
      <c r="M163" t="str">
        <f t="shared" si="75"/>
        <v>2018/08/11 13:34:00</v>
      </c>
      <c r="N163" t="str">
        <f>("1981")</f>
        <v>1981</v>
      </c>
      <c r="O163" t="str">
        <f t="shared" si="68"/>
        <v>4F西文書庫 4F Western Language Books</v>
      </c>
      <c r="P163" t="s">
        <v>64</v>
      </c>
      <c r="W163" t="str">
        <f t="shared" si="70"/>
        <v>美國國會圖書分類法</v>
      </c>
      <c r="Y163" t="str">
        <f>("H62")</f>
        <v>H62</v>
      </c>
      <c r="Z163" t="str">
        <f t="shared" si="76"/>
        <v>2018/08/11 13:34:00</v>
      </c>
      <c r="AA163" t="str">
        <f t="shared" si="65"/>
        <v>catc</v>
      </c>
      <c r="AC163" t="str">
        <f>("S741")</f>
        <v>S741</v>
      </c>
      <c r="AE163" t="str">
        <f t="shared" si="71"/>
        <v>c.1</v>
      </c>
      <c r="AF163" t="str">
        <f t="shared" si="60"/>
        <v>1.可借圖書</v>
      </c>
      <c r="AG163" t="str">
        <f t="shared" si="69"/>
        <v>在架</v>
      </c>
      <c r="AI163" t="s">
        <v>65</v>
      </c>
      <c r="AK163" t="str">
        <f t="shared" si="66"/>
        <v>一般(Normal)</v>
      </c>
      <c r="AO163" t="s">
        <v>65</v>
      </c>
      <c r="AS163" t="str">
        <f>("c1981. ")</f>
        <v xml:space="preserve">c1981. </v>
      </c>
      <c r="AT163" t="str">
        <f t="shared" si="67"/>
        <v>catc</v>
      </c>
    </row>
    <row r="164" spans="1:46" x14ac:dyDescent="0.25">
      <c r="A164">
        <v>153</v>
      </c>
      <c r="B164" t="str">
        <f>("289085")</f>
        <v>289085</v>
      </c>
      <c r="C164" t="str">
        <f>("W00002189")</f>
        <v>W00002189</v>
      </c>
      <c r="D164" t="str">
        <f>("Learner English :a teacher's guide to interference and other problems /")</f>
        <v>Learner English :a teacher's guide to interference and other problems /</v>
      </c>
      <c r="E164" t="str">
        <f>("Swan, Michael. ")</f>
        <v xml:space="preserve">Swan, Michael. </v>
      </c>
      <c r="F164" t="str">
        <f>("Cambridge University Press,")</f>
        <v>Cambridge University Press,</v>
      </c>
      <c r="G164" t="str">
        <f>("2nd ed. ")</f>
        <v xml:space="preserve">2nd ed. </v>
      </c>
      <c r="H164" t="str">
        <f t="shared" si="72"/>
        <v>圖書 book</v>
      </c>
      <c r="I164" t="str">
        <f>("PE1128.A2 S972 2001")</f>
        <v>PE1128.A2 S972 2001</v>
      </c>
      <c r="J164" t="str">
        <f>("0521779391;0521774977;0521000246")</f>
        <v>0521779391;0521774977;0521000246</v>
      </c>
      <c r="K164" t="str">
        <f>("680")</f>
        <v>680</v>
      </c>
      <c r="L164" t="str">
        <f t="shared" si="63"/>
        <v>2001/10/10 00:00:00</v>
      </c>
      <c r="M164" t="str">
        <f t="shared" si="75"/>
        <v>2018/08/11 13:34:00</v>
      </c>
      <c r="N164" t="str">
        <f>("2001")</f>
        <v>2001</v>
      </c>
      <c r="O164" t="str">
        <f t="shared" si="68"/>
        <v>4F西文書庫 4F Western Language Books</v>
      </c>
      <c r="P164" t="s">
        <v>64</v>
      </c>
      <c r="W164" t="str">
        <f t="shared" si="70"/>
        <v>美國國會圖書分類法</v>
      </c>
      <c r="Y164" t="str">
        <f>("PE1128.A2")</f>
        <v>PE1128.A2</v>
      </c>
      <c r="Z164" t="str">
        <f t="shared" si="76"/>
        <v>2018/08/11 13:34:00</v>
      </c>
      <c r="AA164" t="str">
        <f t="shared" si="65"/>
        <v>catc</v>
      </c>
      <c r="AC164" t="str">
        <f>("S972")</f>
        <v>S972</v>
      </c>
      <c r="AE164" t="str">
        <f t="shared" si="71"/>
        <v>c.1</v>
      </c>
      <c r="AF164" t="str">
        <f t="shared" si="60"/>
        <v>1.可借圖書</v>
      </c>
      <c r="AG164" t="str">
        <f t="shared" si="69"/>
        <v>在架</v>
      </c>
      <c r="AI164" t="s">
        <v>65</v>
      </c>
      <c r="AK164" t="str">
        <f t="shared" si="66"/>
        <v>一般(Normal)</v>
      </c>
      <c r="AO164" t="s">
        <v>65</v>
      </c>
      <c r="AS164" t="str">
        <f>("2001. ")</f>
        <v xml:space="preserve">2001. </v>
      </c>
      <c r="AT164" t="str">
        <f t="shared" si="67"/>
        <v>catc</v>
      </c>
    </row>
    <row r="165" spans="1:46" x14ac:dyDescent="0.25">
      <c r="A165">
        <v>154</v>
      </c>
      <c r="B165" t="str">
        <f>("289086")</f>
        <v>289086</v>
      </c>
      <c r="C165" t="str">
        <f>("W00002190")</f>
        <v>W00002190</v>
      </c>
      <c r="D165" t="str">
        <f>("Getting started in emerging markets / ")</f>
        <v xml:space="preserve">Getting started in emerging markets / </v>
      </c>
      <c r="E165" t="str">
        <f>("Poillon, Christopher, 1965- ")</f>
        <v xml:space="preserve">Poillon, Christopher, 1965- </v>
      </c>
      <c r="F165" t="str">
        <f>("John Wiley, ")</f>
        <v xml:space="preserve">John Wiley, </v>
      </c>
      <c r="H165" t="str">
        <f t="shared" si="72"/>
        <v>圖書 book</v>
      </c>
      <c r="I165" t="str">
        <f>("HG5993 P749 2000")</f>
        <v>HG5993 P749 2000</v>
      </c>
      <c r="J165" t="str">
        <f>("0471395455")</f>
        <v>0471395455</v>
      </c>
      <c r="K165" t="str">
        <f>("608")</f>
        <v>608</v>
      </c>
      <c r="L165" t="str">
        <f t="shared" si="63"/>
        <v>2001/10/10 00:00:00</v>
      </c>
      <c r="M165" t="str">
        <f t="shared" si="75"/>
        <v>2018/08/11 13:34:00</v>
      </c>
      <c r="N165" t="str">
        <f>("2000")</f>
        <v>2000</v>
      </c>
      <c r="O165" t="str">
        <f t="shared" si="68"/>
        <v>4F西文書庫 4F Western Language Books</v>
      </c>
      <c r="P165" t="s">
        <v>64</v>
      </c>
      <c r="W165" t="str">
        <f t="shared" si="70"/>
        <v>美國國會圖書分類法</v>
      </c>
      <c r="Y165" t="str">
        <f>("HG5993")</f>
        <v>HG5993</v>
      </c>
      <c r="Z165" t="str">
        <f t="shared" si="76"/>
        <v>2018/08/11 13:34:00</v>
      </c>
      <c r="AA165" t="str">
        <f t="shared" si="65"/>
        <v>catc</v>
      </c>
      <c r="AC165" t="str">
        <f>("P749")</f>
        <v>P749</v>
      </c>
      <c r="AE165" t="str">
        <f t="shared" si="71"/>
        <v>c.1</v>
      </c>
      <c r="AF165" t="str">
        <f t="shared" si="60"/>
        <v>1.可借圖書</v>
      </c>
      <c r="AG165" t="str">
        <f t="shared" si="69"/>
        <v>在架</v>
      </c>
      <c r="AI165" t="s">
        <v>65</v>
      </c>
      <c r="AK165" t="str">
        <f t="shared" si="66"/>
        <v>一般(Normal)</v>
      </c>
      <c r="AO165" t="s">
        <v>65</v>
      </c>
      <c r="AS165" t="str">
        <f>("c2000. ")</f>
        <v xml:space="preserve">c2000. </v>
      </c>
      <c r="AT165" t="str">
        <f t="shared" si="67"/>
        <v>catc</v>
      </c>
    </row>
    <row r="166" spans="1:46" x14ac:dyDescent="0.25">
      <c r="A166">
        <v>155</v>
      </c>
      <c r="B166" t="str">
        <f>("289087")</f>
        <v>289087</v>
      </c>
      <c r="C166" t="str">
        <f>("W00002191")</f>
        <v>W00002191</v>
      </c>
      <c r="D166" t="str">
        <f>("The art of possibility /")</f>
        <v>The art of possibility /</v>
      </c>
      <c r="E166" t="str">
        <f>("Zander, Rosamund Stone,1942- ")</f>
        <v xml:space="preserve">Zander, Rosamund Stone,1942- </v>
      </c>
      <c r="F166" t="str">
        <f>("Harvard Business School Press,")</f>
        <v>Harvard Business School Press,</v>
      </c>
      <c r="H166" t="str">
        <f t="shared" si="72"/>
        <v>圖書 book</v>
      </c>
      <c r="I166" t="str">
        <f>("BC199.P7 Z27 2000")</f>
        <v>BC199.P7 Z27 2000</v>
      </c>
      <c r="J166" t="str">
        <f>("0875847706")</f>
        <v>0875847706</v>
      </c>
      <c r="K166" t="str">
        <f>("664")</f>
        <v>664</v>
      </c>
      <c r="L166" t="str">
        <f t="shared" si="63"/>
        <v>2001/10/10 00:00:00</v>
      </c>
      <c r="M166" t="str">
        <f t="shared" si="75"/>
        <v>2018/08/11 13:34:00</v>
      </c>
      <c r="N166" t="str">
        <f>("2000")</f>
        <v>2000</v>
      </c>
      <c r="O166" t="str">
        <f t="shared" si="68"/>
        <v>4F西文書庫 4F Western Language Books</v>
      </c>
      <c r="P166" t="s">
        <v>64</v>
      </c>
      <c r="W166" t="str">
        <f t="shared" si="70"/>
        <v>美國國會圖書分類法</v>
      </c>
      <c r="Y166" t="str">
        <f>("BC199.P7")</f>
        <v>BC199.P7</v>
      </c>
      <c r="Z166" t="str">
        <f t="shared" si="76"/>
        <v>2018/08/11 13:34:00</v>
      </c>
      <c r="AA166" t="str">
        <f t="shared" si="65"/>
        <v>catc</v>
      </c>
      <c r="AC166" t="str">
        <f>("Z27")</f>
        <v>Z27</v>
      </c>
      <c r="AE166" t="str">
        <f t="shared" si="71"/>
        <v>c.1</v>
      </c>
      <c r="AF166" t="str">
        <f t="shared" si="60"/>
        <v>1.可借圖書</v>
      </c>
      <c r="AG166" t="str">
        <f t="shared" si="69"/>
        <v>在架</v>
      </c>
      <c r="AI166" t="s">
        <v>65</v>
      </c>
      <c r="AK166" t="str">
        <f t="shared" si="66"/>
        <v>一般(Normal)</v>
      </c>
      <c r="AO166" t="s">
        <v>65</v>
      </c>
      <c r="AS166" t="str">
        <f>("c2000. ")</f>
        <v xml:space="preserve">c2000. </v>
      </c>
      <c r="AT166" t="str">
        <f t="shared" si="67"/>
        <v>catc</v>
      </c>
    </row>
    <row r="167" spans="1:46" x14ac:dyDescent="0.25">
      <c r="A167">
        <v>156</v>
      </c>
      <c r="B167" t="str">
        <f>("289088")</f>
        <v>289088</v>
      </c>
      <c r="C167" t="str">
        <f>("W00002192")</f>
        <v>W00002192</v>
      </c>
      <c r="D167" t="str">
        <f>("The problem of abortion /")</f>
        <v>The problem of abortion /</v>
      </c>
      <c r="E167" t="str">
        <f>("Dwyer, Susan. ;Feinberg, Joel,1926- ")</f>
        <v xml:space="preserve">Dwyer, Susan. ;Feinberg, Joel,1926- </v>
      </c>
      <c r="F167" t="str">
        <f>("Wadsworth Pub.,")</f>
        <v>Wadsworth Pub.,</v>
      </c>
      <c r="G167" t="str">
        <f>("3rd ed. ")</f>
        <v xml:space="preserve">3rd ed. </v>
      </c>
      <c r="H167" t="str">
        <f t="shared" si="72"/>
        <v>圖書 book</v>
      </c>
      <c r="I167" t="str">
        <f>("HQ767.5.N5 D993 1997")</f>
        <v>HQ767.5.N5 D993 1997</v>
      </c>
      <c r="J167" t="str">
        <f>("0534505147")</f>
        <v>0534505147</v>
      </c>
      <c r="K167" t="str">
        <f>("840")</f>
        <v>840</v>
      </c>
      <c r="L167" t="str">
        <f t="shared" si="63"/>
        <v>2001/10/10 00:00:00</v>
      </c>
      <c r="M167" t="str">
        <f t="shared" si="75"/>
        <v>2018/08/11 13:34:00</v>
      </c>
      <c r="N167" t="str">
        <f>("1997")</f>
        <v>1997</v>
      </c>
      <c r="O167" t="str">
        <f t="shared" si="68"/>
        <v>4F西文書庫 4F Western Language Books</v>
      </c>
      <c r="P167" t="s">
        <v>64</v>
      </c>
      <c r="W167" t="str">
        <f t="shared" si="70"/>
        <v>美國國會圖書分類法</v>
      </c>
      <c r="Y167" t="str">
        <f>("HQ767.5.N5")</f>
        <v>HQ767.5.N5</v>
      </c>
      <c r="Z167" t="str">
        <f t="shared" si="76"/>
        <v>2018/08/11 13:34:00</v>
      </c>
      <c r="AA167" t="str">
        <f t="shared" si="65"/>
        <v>catc</v>
      </c>
      <c r="AC167" t="str">
        <f>("D993")</f>
        <v>D993</v>
      </c>
      <c r="AE167" t="str">
        <f t="shared" si="71"/>
        <v>c.1</v>
      </c>
      <c r="AF167" t="str">
        <f t="shared" si="60"/>
        <v>1.可借圖書</v>
      </c>
      <c r="AG167" t="str">
        <f t="shared" si="69"/>
        <v>在架</v>
      </c>
      <c r="AI167" t="s">
        <v>65</v>
      </c>
      <c r="AK167" t="str">
        <f t="shared" si="66"/>
        <v>一般(Normal)</v>
      </c>
      <c r="AO167" t="s">
        <v>65</v>
      </c>
      <c r="AS167" t="str">
        <f>("c1997. ")</f>
        <v xml:space="preserve">c1997. </v>
      </c>
      <c r="AT167" t="str">
        <f t="shared" si="67"/>
        <v>catc</v>
      </c>
    </row>
    <row r="168" spans="1:46" x14ac:dyDescent="0.25">
      <c r="A168">
        <v>157</v>
      </c>
      <c r="B168" t="str">
        <f>("289071")</f>
        <v>289071</v>
      </c>
      <c r="C168" t="str">
        <f>("W00002193")</f>
        <v>W00002193</v>
      </c>
      <c r="D168" t="str">
        <f>("Lippincott's cancer chemotherapy handbook /")</f>
        <v>Lippincott's cancer chemotherapy handbook /</v>
      </c>
      <c r="E168" t="str">
        <f>("Baquiran, Delia C. ")</f>
        <v xml:space="preserve">Baquiran, Delia C. </v>
      </c>
      <c r="F168" t="str">
        <f>("Lippincott,")</f>
        <v>Lippincott,</v>
      </c>
      <c r="H168" t="str">
        <f t="shared" si="72"/>
        <v>圖書 book</v>
      </c>
      <c r="I168" t="str">
        <f>("RC271.C5 B111 1998")</f>
        <v>RC271.C5 B111 1998</v>
      </c>
      <c r="J168" t="str">
        <f>("0397554702")</f>
        <v>0397554702</v>
      </c>
      <c r="K168" t="str">
        <f>("812")</f>
        <v>812</v>
      </c>
      <c r="L168" t="str">
        <f t="shared" si="63"/>
        <v>2001/10/10 00:00:00</v>
      </c>
      <c r="M168" t="str">
        <f t="shared" si="75"/>
        <v>2018/08/11 13:34:00</v>
      </c>
      <c r="N168" t="str">
        <f>("1998")</f>
        <v>1998</v>
      </c>
      <c r="O168" t="str">
        <f t="shared" si="68"/>
        <v>4F西文書庫 4F Western Language Books</v>
      </c>
      <c r="P168" t="s">
        <v>64</v>
      </c>
      <c r="W168" t="str">
        <f t="shared" si="70"/>
        <v>美國國會圖書分類法</v>
      </c>
      <c r="Y168" t="str">
        <f>("RC271.C5")</f>
        <v>RC271.C5</v>
      </c>
      <c r="Z168" t="str">
        <f t="shared" si="76"/>
        <v>2018/08/11 13:34:00</v>
      </c>
      <c r="AA168" t="str">
        <f t="shared" si="65"/>
        <v>catc</v>
      </c>
      <c r="AC168" t="str">
        <f>("B111")</f>
        <v>B111</v>
      </c>
      <c r="AE168" t="str">
        <f t="shared" si="71"/>
        <v>c.1</v>
      </c>
      <c r="AF168" t="str">
        <f t="shared" si="60"/>
        <v>1.可借圖書</v>
      </c>
      <c r="AG168" t="str">
        <f t="shared" si="69"/>
        <v>在架</v>
      </c>
      <c r="AI168" t="s">
        <v>65</v>
      </c>
      <c r="AK168" t="str">
        <f t="shared" si="66"/>
        <v>一般(Normal)</v>
      </c>
      <c r="AO168" t="s">
        <v>65</v>
      </c>
      <c r="AS168" t="str">
        <f>("c1998. ")</f>
        <v xml:space="preserve">c1998. </v>
      </c>
      <c r="AT168" t="str">
        <f t="shared" si="67"/>
        <v>catc</v>
      </c>
    </row>
    <row r="169" spans="1:46" x14ac:dyDescent="0.25">
      <c r="A169">
        <v>158</v>
      </c>
      <c r="B169" t="str">
        <f>("289072")</f>
        <v>289072</v>
      </c>
      <c r="C169" t="str">
        <f>("W00002194")</f>
        <v>W00002194</v>
      </c>
      <c r="D169" t="str">
        <f>("Fundamentals of menu planning /")</f>
        <v>Fundamentals of menu planning /</v>
      </c>
      <c r="E169" t="str">
        <f>("McVety, Paul J. ")</f>
        <v xml:space="preserve">McVety, Paul J. </v>
      </c>
      <c r="F169" t="str">
        <f>("Wiley,")</f>
        <v>Wiley,</v>
      </c>
      <c r="G169" t="str">
        <f>("2nd ed. ")</f>
        <v xml:space="preserve">2nd ed. </v>
      </c>
      <c r="H169" t="str">
        <f t="shared" si="72"/>
        <v>圖書 book</v>
      </c>
      <c r="I169" t="str">
        <f>("TX911.3 M113 2001")</f>
        <v>TX911.3 M113 2001</v>
      </c>
      <c r="J169" t="str">
        <f>("0471369470")</f>
        <v>0471369470</v>
      </c>
      <c r="K169" t="str">
        <f>("1498")</f>
        <v>1498</v>
      </c>
      <c r="L169" t="str">
        <f t="shared" si="63"/>
        <v>2001/10/10 00:00:00</v>
      </c>
      <c r="M169" t="str">
        <f t="shared" si="75"/>
        <v>2018/08/11 13:34:00</v>
      </c>
      <c r="N169" t="str">
        <f>("2001")</f>
        <v>2001</v>
      </c>
      <c r="O169" t="str">
        <f t="shared" si="68"/>
        <v>4F西文書庫 4F Western Language Books</v>
      </c>
      <c r="P169" t="s">
        <v>64</v>
      </c>
      <c r="W169" t="str">
        <f t="shared" si="70"/>
        <v>美國國會圖書分類法</v>
      </c>
      <c r="Y169" t="str">
        <f>("TX911.3")</f>
        <v>TX911.3</v>
      </c>
      <c r="Z169" t="str">
        <f t="shared" si="76"/>
        <v>2018/08/11 13:34:00</v>
      </c>
      <c r="AA169" t="str">
        <f t="shared" si="65"/>
        <v>catc</v>
      </c>
      <c r="AC169" t="str">
        <f>("M113")</f>
        <v>M113</v>
      </c>
      <c r="AE169" t="str">
        <f t="shared" si="71"/>
        <v>c.1</v>
      </c>
      <c r="AF169" t="str">
        <f t="shared" si="60"/>
        <v>1.可借圖書</v>
      </c>
      <c r="AG169" t="str">
        <f t="shared" si="69"/>
        <v>在架</v>
      </c>
      <c r="AI169" t="s">
        <v>65</v>
      </c>
      <c r="AK169" t="str">
        <f t="shared" si="66"/>
        <v>一般(Normal)</v>
      </c>
      <c r="AO169" t="s">
        <v>65</v>
      </c>
      <c r="AS169" t="str">
        <f>("c2001. ")</f>
        <v xml:space="preserve">c2001. </v>
      </c>
      <c r="AT169" t="str">
        <f t="shared" si="67"/>
        <v>catc</v>
      </c>
    </row>
    <row r="170" spans="1:46" x14ac:dyDescent="0.25">
      <c r="A170">
        <v>159</v>
      </c>
      <c r="B170" t="str">
        <f>("289073")</f>
        <v>289073</v>
      </c>
      <c r="C170" t="str">
        <f>("W00002195")</f>
        <v>W00002195</v>
      </c>
      <c r="D170" t="str">
        <f>("Information processing and management /")</f>
        <v>Information processing and management /</v>
      </c>
      <c r="E170" t="str">
        <f>("Meyenn, Andrew James.")</f>
        <v>Meyenn, Andrew James.</v>
      </c>
      <c r="F170" t="str">
        <f>("John Wiley &amp; Sons Australia,")</f>
        <v>John Wiley &amp; Sons Australia,</v>
      </c>
      <c r="G170" t="str">
        <f>("2nd ed.")</f>
        <v>2nd ed.</v>
      </c>
      <c r="H170" t="str">
        <f t="shared" si="72"/>
        <v>圖書 book</v>
      </c>
      <c r="I170" t="str">
        <f>("Z699.A1 M612 2000")</f>
        <v>Z699.A1 M612 2000</v>
      </c>
      <c r="J170" t="str">
        <f>("0701633832")</f>
        <v>0701633832</v>
      </c>
      <c r="K170" t="str">
        <f>("1032")</f>
        <v>1032</v>
      </c>
      <c r="L170" t="str">
        <f t="shared" si="63"/>
        <v>2001/10/10 00:00:00</v>
      </c>
      <c r="M170" t="str">
        <f t="shared" si="75"/>
        <v>2018/08/11 13:34:00</v>
      </c>
      <c r="N170" t="str">
        <f>("2000")</f>
        <v>2000</v>
      </c>
      <c r="O170" t="str">
        <f t="shared" si="68"/>
        <v>4F西文書庫 4F Western Language Books</v>
      </c>
      <c r="P170" t="s">
        <v>64</v>
      </c>
      <c r="W170" t="str">
        <f t="shared" si="70"/>
        <v>美國國會圖書分類法</v>
      </c>
      <c r="Y170" t="str">
        <f>("Z699.A1")</f>
        <v>Z699.A1</v>
      </c>
      <c r="Z170" t="str">
        <f t="shared" si="76"/>
        <v>2018/08/11 13:34:00</v>
      </c>
      <c r="AA170" t="str">
        <f t="shared" si="65"/>
        <v>catc</v>
      </c>
      <c r="AC170" t="str">
        <f>("M612")</f>
        <v>M612</v>
      </c>
      <c r="AE170" t="str">
        <f t="shared" si="71"/>
        <v>c.1</v>
      </c>
      <c r="AF170" t="str">
        <f t="shared" si="60"/>
        <v>1.可借圖書</v>
      </c>
      <c r="AG170" t="str">
        <f t="shared" si="69"/>
        <v>在架</v>
      </c>
      <c r="AI170" t="s">
        <v>65</v>
      </c>
      <c r="AK170" t="str">
        <f t="shared" si="66"/>
        <v>一般(Normal)</v>
      </c>
      <c r="AO170" t="s">
        <v>65</v>
      </c>
      <c r="AS170" t="str">
        <f>("2000.")</f>
        <v>2000.</v>
      </c>
      <c r="AT170" t="str">
        <f t="shared" si="67"/>
        <v>catc</v>
      </c>
    </row>
    <row r="171" spans="1:46" x14ac:dyDescent="0.25">
      <c r="A171">
        <v>160</v>
      </c>
      <c r="B171" t="str">
        <f>("289074")</f>
        <v>289074</v>
      </c>
      <c r="C171" t="str">
        <f>("W00002196")</f>
        <v>W00002196</v>
      </c>
      <c r="D171" t="str">
        <f>("The compensation solution :how to develop an employee-driven rewards system /")</f>
        <v>The compensation solution :how to develop an employee-driven rewards system /</v>
      </c>
      <c r="E171" t="str">
        <f>("Tropman, John E. ")</f>
        <v xml:space="preserve">Tropman, John E. </v>
      </c>
      <c r="F171" t="str">
        <f>("Jossey-Bass,")</f>
        <v>Jossey-Bass,</v>
      </c>
      <c r="G171" t="str">
        <f>("1st ed. ")</f>
        <v xml:space="preserve">1st ed. </v>
      </c>
      <c r="H171" t="str">
        <f t="shared" si="72"/>
        <v>圖書 book</v>
      </c>
      <c r="I171" t="str">
        <f>("HF5549.5.C67 T856 2001")</f>
        <v>HF5549.5.C67 T856 2001</v>
      </c>
      <c r="J171" t="str">
        <f>("0787954012")</f>
        <v>0787954012</v>
      </c>
      <c r="K171" t="str">
        <f>("760")</f>
        <v>760</v>
      </c>
      <c r="L171" t="str">
        <f t="shared" si="63"/>
        <v>2001/10/10 00:00:00</v>
      </c>
      <c r="M171" t="str">
        <f t="shared" ref="M171:M179" si="77">("2018/08/11 13:34:01")</f>
        <v>2018/08/11 13:34:01</v>
      </c>
      <c r="N171" t="str">
        <f>("2001")</f>
        <v>2001</v>
      </c>
      <c r="O171" t="str">
        <f t="shared" si="68"/>
        <v>4F西文書庫 4F Western Language Books</v>
      </c>
      <c r="P171" t="s">
        <v>64</v>
      </c>
      <c r="W171" t="str">
        <f t="shared" si="70"/>
        <v>美國國會圖書分類法</v>
      </c>
      <c r="Y171" t="str">
        <f>("HF5549.5.C67")</f>
        <v>HF5549.5.C67</v>
      </c>
      <c r="Z171" t="str">
        <f t="shared" si="76"/>
        <v>2018/08/11 13:34:00</v>
      </c>
      <c r="AA171" t="str">
        <f t="shared" si="65"/>
        <v>catc</v>
      </c>
      <c r="AC171" t="str">
        <f>("T856")</f>
        <v>T856</v>
      </c>
      <c r="AE171" t="str">
        <f t="shared" si="71"/>
        <v>c.1</v>
      </c>
      <c r="AF171" t="str">
        <f t="shared" si="60"/>
        <v>1.可借圖書</v>
      </c>
      <c r="AG171" t="str">
        <f t="shared" si="69"/>
        <v>在架</v>
      </c>
      <c r="AI171" t="s">
        <v>65</v>
      </c>
      <c r="AK171" t="str">
        <f t="shared" si="66"/>
        <v>一般(Normal)</v>
      </c>
      <c r="AO171" t="s">
        <v>65</v>
      </c>
      <c r="AS171" t="str">
        <f>("c2001. ")</f>
        <v xml:space="preserve">c2001. </v>
      </c>
      <c r="AT171" t="str">
        <f t="shared" si="67"/>
        <v>catc</v>
      </c>
    </row>
    <row r="172" spans="1:46" x14ac:dyDescent="0.25">
      <c r="A172">
        <v>161</v>
      </c>
      <c r="B172" t="str">
        <f>("289075")</f>
        <v>289075</v>
      </c>
      <c r="C172" t="str">
        <f>("W00002197")</f>
        <v>W00002197</v>
      </c>
      <c r="D172" t="str">
        <f>("Business portfolio management : valuation, risk assessment, and EVA strategies / ")</f>
        <v xml:space="preserve">Business portfolio management : valuation, risk assessment, and EVA strategies / </v>
      </c>
      <c r="E172" t="str">
        <f>("Allen, Michael S., 1942- ")</f>
        <v xml:space="preserve">Allen, Michael S., 1942- </v>
      </c>
      <c r="F172" t="str">
        <f>("Wiley, ")</f>
        <v xml:space="preserve">Wiley, </v>
      </c>
      <c r="H172" t="str">
        <f t="shared" si="72"/>
        <v>圖書 book</v>
      </c>
      <c r="I172" t="str">
        <f>("HG4529.5 A425 2000")</f>
        <v>HG4529.5 A425 2000</v>
      </c>
      <c r="J172" t="str">
        <f>("047137640X")</f>
        <v>047137640X</v>
      </c>
      <c r="K172" t="str">
        <f>("1216")</f>
        <v>1216</v>
      </c>
      <c r="L172" t="str">
        <f t="shared" si="63"/>
        <v>2001/10/10 00:00:00</v>
      </c>
      <c r="M172" t="str">
        <f t="shared" si="77"/>
        <v>2018/08/11 13:34:01</v>
      </c>
      <c r="N172" t="str">
        <f>("2000")</f>
        <v>2000</v>
      </c>
      <c r="O172" t="str">
        <f t="shared" si="68"/>
        <v>4F西文書庫 4F Western Language Books</v>
      </c>
      <c r="P172" t="s">
        <v>64</v>
      </c>
      <c r="W172" t="str">
        <f t="shared" si="70"/>
        <v>美國國會圖書分類法</v>
      </c>
      <c r="Y172" t="str">
        <f>("HG4529.5")</f>
        <v>HG4529.5</v>
      </c>
      <c r="Z172" t="str">
        <f t="shared" ref="Z172:Z180" si="78">("2018/08/11 13:34:01")</f>
        <v>2018/08/11 13:34:01</v>
      </c>
      <c r="AA172" t="str">
        <f t="shared" si="65"/>
        <v>catc</v>
      </c>
      <c r="AC172" t="str">
        <f>("A425")</f>
        <v>A425</v>
      </c>
      <c r="AE172" t="str">
        <f t="shared" si="71"/>
        <v>c.1</v>
      </c>
      <c r="AF172" t="str">
        <f t="shared" si="60"/>
        <v>1.可借圖書</v>
      </c>
      <c r="AG172" t="str">
        <f t="shared" si="69"/>
        <v>在架</v>
      </c>
      <c r="AI172" t="s">
        <v>65</v>
      </c>
      <c r="AK172" t="str">
        <f t="shared" si="66"/>
        <v>一般(Normal)</v>
      </c>
      <c r="AO172" t="s">
        <v>65</v>
      </c>
      <c r="AS172" t="str">
        <f>("c2000. ")</f>
        <v xml:space="preserve">c2000. </v>
      </c>
      <c r="AT172" t="str">
        <f t="shared" si="67"/>
        <v>catc</v>
      </c>
    </row>
    <row r="173" spans="1:46" x14ac:dyDescent="0.25">
      <c r="A173">
        <v>162</v>
      </c>
      <c r="B173" t="str">
        <f>("289089")</f>
        <v>289089</v>
      </c>
      <c r="C173" t="str">
        <f>("W00002198")</f>
        <v>W00002198</v>
      </c>
      <c r="D173" t="str">
        <f>("Telling stories, taking risks :journalism writing at the century's edge /")</f>
        <v>Telling stories, taking risks :journalism writing at the century's edge /</v>
      </c>
      <c r="E173" t="str">
        <f>("Klement, Alice M.")</f>
        <v>Klement, Alice M.</v>
      </c>
      <c r="F173" t="str">
        <f>("Wadsworth Pub.,")</f>
        <v>Wadsworth Pub.,</v>
      </c>
      <c r="H173" t="str">
        <f t="shared" si="72"/>
        <v>圖書 book</v>
      </c>
      <c r="I173" t="str">
        <f>("PN4726 K64 1998")</f>
        <v>PN4726 K64 1998</v>
      </c>
      <c r="J173" t="str">
        <f>("0534522726")</f>
        <v>0534522726</v>
      </c>
      <c r="K173" t="str">
        <f>("704")</f>
        <v>704</v>
      </c>
      <c r="L173" t="str">
        <f t="shared" si="63"/>
        <v>2001/10/10 00:00:00</v>
      </c>
      <c r="M173" t="str">
        <f t="shared" si="77"/>
        <v>2018/08/11 13:34:01</v>
      </c>
      <c r="N173" t="str">
        <f>("1998")</f>
        <v>1998</v>
      </c>
      <c r="O173" t="str">
        <f t="shared" si="68"/>
        <v>4F西文書庫 4F Western Language Books</v>
      </c>
      <c r="P173" t="s">
        <v>64</v>
      </c>
      <c r="W173" t="str">
        <f t="shared" si="70"/>
        <v>美國國會圖書分類法</v>
      </c>
      <c r="Y173" t="str">
        <f>("PN4726")</f>
        <v>PN4726</v>
      </c>
      <c r="Z173" t="str">
        <f t="shared" si="78"/>
        <v>2018/08/11 13:34:01</v>
      </c>
      <c r="AA173" t="str">
        <f t="shared" si="65"/>
        <v>catc</v>
      </c>
      <c r="AC173" t="str">
        <f>("K64")</f>
        <v>K64</v>
      </c>
      <c r="AE173" t="str">
        <f t="shared" si="71"/>
        <v>c.1</v>
      </c>
      <c r="AF173" t="str">
        <f t="shared" si="60"/>
        <v>1.可借圖書</v>
      </c>
      <c r="AG173" t="str">
        <f t="shared" si="69"/>
        <v>在架</v>
      </c>
      <c r="AI173" t="s">
        <v>65</v>
      </c>
      <c r="AK173" t="str">
        <f t="shared" si="66"/>
        <v>一般(Normal)</v>
      </c>
      <c r="AO173" t="s">
        <v>65</v>
      </c>
      <c r="AS173" t="str">
        <f>("c1998. ")</f>
        <v xml:space="preserve">c1998. </v>
      </c>
      <c r="AT173" t="str">
        <f t="shared" si="67"/>
        <v>catc</v>
      </c>
    </row>
    <row r="174" spans="1:46" x14ac:dyDescent="0.25">
      <c r="A174">
        <v>163</v>
      </c>
      <c r="B174" t="str">
        <f>("289090")</f>
        <v>289090</v>
      </c>
      <c r="C174" t="str">
        <f>("W00002199")</f>
        <v>W00002199</v>
      </c>
      <c r="D174" t="str">
        <f>("Monitoring, measuring, and managing customer service /")</f>
        <v>Monitoring, measuring, and managing customer service /</v>
      </c>
      <c r="E174" t="str">
        <f>("Goodman, Gary S. ")</f>
        <v xml:space="preserve">Goodman, Gary S. </v>
      </c>
      <c r="F174" t="str">
        <f>("Jossey-Bass,")</f>
        <v>Jossey-Bass,</v>
      </c>
      <c r="G174" t="str">
        <f>("1st ed. ")</f>
        <v xml:space="preserve">1st ed. </v>
      </c>
      <c r="H174" t="str">
        <f t="shared" si="72"/>
        <v>圖書 book</v>
      </c>
      <c r="I174" t="str">
        <f>("HF5415.5 G653 2000")</f>
        <v>HF5415.5 G653 2000</v>
      </c>
      <c r="J174" t="str">
        <f>("0787951390")</f>
        <v>0787951390</v>
      </c>
      <c r="K174" t="str">
        <f>("912")</f>
        <v>912</v>
      </c>
      <c r="L174" t="str">
        <f t="shared" si="63"/>
        <v>2001/10/10 00:00:00</v>
      </c>
      <c r="M174" t="str">
        <f t="shared" si="77"/>
        <v>2018/08/11 13:34:01</v>
      </c>
      <c r="N174" t="str">
        <f>("2000")</f>
        <v>2000</v>
      </c>
      <c r="O174" t="str">
        <f t="shared" si="68"/>
        <v>4F西文書庫 4F Western Language Books</v>
      </c>
      <c r="P174" t="s">
        <v>64</v>
      </c>
      <c r="W174" t="str">
        <f t="shared" si="70"/>
        <v>美國國會圖書分類法</v>
      </c>
      <c r="Y174" t="str">
        <f>("HF5415.5")</f>
        <v>HF5415.5</v>
      </c>
      <c r="Z174" t="str">
        <f t="shared" si="78"/>
        <v>2018/08/11 13:34:01</v>
      </c>
      <c r="AA174" t="str">
        <f t="shared" si="65"/>
        <v>catc</v>
      </c>
      <c r="AC174" t="str">
        <f>("G653")</f>
        <v>G653</v>
      </c>
      <c r="AE174" t="str">
        <f t="shared" si="71"/>
        <v>c.1</v>
      </c>
      <c r="AF174" t="str">
        <f t="shared" si="60"/>
        <v>1.可借圖書</v>
      </c>
      <c r="AG174" t="str">
        <f t="shared" si="69"/>
        <v>在架</v>
      </c>
      <c r="AI174" t="s">
        <v>65</v>
      </c>
      <c r="AK174" t="str">
        <f t="shared" si="66"/>
        <v>一般(Normal)</v>
      </c>
      <c r="AO174" t="s">
        <v>65</v>
      </c>
      <c r="AS174" t="str">
        <f>("2000. ")</f>
        <v xml:space="preserve">2000. </v>
      </c>
      <c r="AT174" t="str">
        <f t="shared" si="67"/>
        <v>catc</v>
      </c>
    </row>
    <row r="175" spans="1:46" x14ac:dyDescent="0.25">
      <c r="A175">
        <v>164</v>
      </c>
      <c r="B175" t="str">
        <f>("289091")</f>
        <v>289091</v>
      </c>
      <c r="C175" t="str">
        <f>("W00002200")</f>
        <v>W00002200</v>
      </c>
      <c r="D175" t="str">
        <f>("Counseling strategies and interventions / ")</f>
        <v xml:space="preserve">Counseling strategies and interventions / </v>
      </c>
      <c r="E175" t="str">
        <f>("Cormier, L. Sherilyn 1946- ")</f>
        <v xml:space="preserve">Cormier, L. Sherilyn 1946- </v>
      </c>
      <c r="F175" t="str">
        <f>("Allyn and Bacon, ")</f>
        <v xml:space="preserve">Allyn and Bacon, </v>
      </c>
      <c r="G175" t="str">
        <f>("5th ed. ")</f>
        <v xml:space="preserve">5th ed. </v>
      </c>
      <c r="H175" t="str">
        <f t="shared" si="72"/>
        <v>圖書 book</v>
      </c>
      <c r="I175" t="str">
        <f>("BF637.C6 C811 1999")</f>
        <v>BF637.C6 C811 1999</v>
      </c>
      <c r="J175" t="str">
        <f>("0205293476")</f>
        <v>0205293476</v>
      </c>
      <c r="K175" t="str">
        <f>("1384")</f>
        <v>1384</v>
      </c>
      <c r="L175" t="str">
        <f t="shared" si="63"/>
        <v>2001/10/10 00:00:00</v>
      </c>
      <c r="M175" t="str">
        <f t="shared" si="77"/>
        <v>2018/08/11 13:34:01</v>
      </c>
      <c r="N175" t="str">
        <f>("1999")</f>
        <v>1999</v>
      </c>
      <c r="O175" t="str">
        <f t="shared" si="68"/>
        <v>4F西文書庫 4F Western Language Books</v>
      </c>
      <c r="P175" t="s">
        <v>64</v>
      </c>
      <c r="W175" t="str">
        <f t="shared" ref="W175:W206" si="79">("美國國會圖書分類法")</f>
        <v>美國國會圖書分類法</v>
      </c>
      <c r="Y175" t="str">
        <f>("BF637.C6")</f>
        <v>BF637.C6</v>
      </c>
      <c r="Z175" t="str">
        <f t="shared" si="78"/>
        <v>2018/08/11 13:34:01</v>
      </c>
      <c r="AA175" t="str">
        <f t="shared" si="65"/>
        <v>catc</v>
      </c>
      <c r="AC175" t="str">
        <f>("C811")</f>
        <v>C811</v>
      </c>
      <c r="AE175" t="str">
        <f t="shared" si="71"/>
        <v>c.1</v>
      </c>
      <c r="AF175" t="str">
        <f t="shared" si="60"/>
        <v>1.可借圖書</v>
      </c>
      <c r="AG175" t="str">
        <f t="shared" si="69"/>
        <v>在架</v>
      </c>
      <c r="AI175" t="s">
        <v>65</v>
      </c>
      <c r="AK175" t="str">
        <f t="shared" si="66"/>
        <v>一般(Normal)</v>
      </c>
      <c r="AO175" t="s">
        <v>65</v>
      </c>
      <c r="AS175" t="str">
        <f>("c1999. ")</f>
        <v xml:space="preserve">c1999. </v>
      </c>
      <c r="AT175" t="str">
        <f t="shared" si="67"/>
        <v>catc</v>
      </c>
    </row>
    <row r="176" spans="1:46" x14ac:dyDescent="0.25">
      <c r="A176">
        <v>165</v>
      </c>
      <c r="B176" t="str">
        <f>("289092")</f>
        <v>289092</v>
      </c>
      <c r="C176" t="str">
        <f>("W00002201")</f>
        <v>W00002201</v>
      </c>
      <c r="D176" t="str">
        <f>("Allyn and Bacon quick guide to the Internet for counseling / ")</f>
        <v xml:space="preserve">Allyn and Bacon quick guide to the Internet for counseling / </v>
      </c>
      <c r="E176" t="str">
        <f>("Pachis, Beth. ")</f>
        <v xml:space="preserve">Pachis, Beth. </v>
      </c>
      <c r="F176" t="str">
        <f>("Allyn and Bacon, ")</f>
        <v xml:space="preserve">Allyn and Bacon, </v>
      </c>
      <c r="G176" t="str">
        <f>("2001 ed. ")</f>
        <v xml:space="preserve">2001 ed. </v>
      </c>
      <c r="H176" t="str">
        <f t="shared" si="72"/>
        <v>圖書 book</v>
      </c>
      <c r="I176" t="str">
        <f>("BF637.76 P113 2001")</f>
        <v>BF637.76 P113 2001</v>
      </c>
      <c r="J176" t="str">
        <f>("020532391X")</f>
        <v>020532391X</v>
      </c>
      <c r="K176" t="str">
        <f>("0")</f>
        <v>0</v>
      </c>
      <c r="L176" t="str">
        <f t="shared" si="63"/>
        <v>2001/10/10 00:00:00</v>
      </c>
      <c r="M176" t="str">
        <f t="shared" si="77"/>
        <v>2018/08/11 13:34:01</v>
      </c>
      <c r="N176" t="str">
        <f>("2001")</f>
        <v>2001</v>
      </c>
      <c r="O176" t="str">
        <f t="shared" si="68"/>
        <v>4F西文書庫 4F Western Language Books</v>
      </c>
      <c r="P176" t="s">
        <v>64</v>
      </c>
      <c r="W176" t="str">
        <f t="shared" si="79"/>
        <v>美國國會圖書分類法</v>
      </c>
      <c r="Y176" t="str">
        <f>("BF637.76")</f>
        <v>BF637.76</v>
      </c>
      <c r="Z176" t="str">
        <f t="shared" si="78"/>
        <v>2018/08/11 13:34:01</v>
      </c>
      <c r="AA176" t="str">
        <f t="shared" si="65"/>
        <v>catc</v>
      </c>
      <c r="AC176" t="str">
        <f>("P113")</f>
        <v>P113</v>
      </c>
      <c r="AE176" t="str">
        <f t="shared" si="71"/>
        <v>c.1</v>
      </c>
      <c r="AF176" t="str">
        <f t="shared" si="60"/>
        <v>1.可借圖書</v>
      </c>
      <c r="AG176" t="str">
        <f t="shared" si="69"/>
        <v>在架</v>
      </c>
      <c r="AI176" t="s">
        <v>65</v>
      </c>
      <c r="AK176" t="str">
        <f t="shared" si="66"/>
        <v>一般(Normal)</v>
      </c>
      <c r="AO176" t="s">
        <v>65</v>
      </c>
      <c r="AS176" t="str">
        <f>("c2001. ")</f>
        <v xml:space="preserve">c2001. </v>
      </c>
      <c r="AT176" t="str">
        <f t="shared" si="67"/>
        <v>catc</v>
      </c>
    </row>
    <row r="177" spans="1:46" x14ac:dyDescent="0.25">
      <c r="A177">
        <v>166</v>
      </c>
      <c r="B177" t="str">
        <f>("289093")</f>
        <v>289093</v>
      </c>
      <c r="C177" t="str">
        <f>("W00002202")</f>
        <v>W00002202</v>
      </c>
      <c r="D177" t="str">
        <f>("Company to company: a communicative approach to business correspondence in english/ ")</f>
        <v xml:space="preserve">Company to company: a communicative approach to business correspondence in english/ </v>
      </c>
      <c r="E177" t="str">
        <f>("Littlejohn,Andrew")</f>
        <v>Littlejohn,Andrew</v>
      </c>
      <c r="F177" t="str">
        <f>("Cambridge University press, ")</f>
        <v xml:space="preserve">Cambridge University press, </v>
      </c>
      <c r="G177" t="str">
        <f>("3rd. ed.")</f>
        <v>3rd. ed.</v>
      </c>
      <c r="H177" t="str">
        <f t="shared" si="72"/>
        <v>圖書 book</v>
      </c>
      <c r="I177" t="str">
        <f>("LB1775 L779 2000")</f>
        <v>LB1775 L779 2000</v>
      </c>
      <c r="J177" t="str">
        <f>("0521654114")</f>
        <v>0521654114</v>
      </c>
      <c r="K177" t="str">
        <f>("680")</f>
        <v>680</v>
      </c>
      <c r="L177" t="str">
        <f t="shared" si="63"/>
        <v>2001/10/10 00:00:00</v>
      </c>
      <c r="M177" t="str">
        <f t="shared" si="77"/>
        <v>2018/08/11 13:34:01</v>
      </c>
      <c r="N177" t="str">
        <f>("2000")</f>
        <v>2000</v>
      </c>
      <c r="O177" t="str">
        <f t="shared" si="68"/>
        <v>4F西文書庫 4F Western Language Books</v>
      </c>
      <c r="P177" t="s">
        <v>64</v>
      </c>
      <c r="W177" t="str">
        <f t="shared" si="79"/>
        <v>美國國會圖書分類法</v>
      </c>
      <c r="Y177" t="str">
        <f>("LB1775")</f>
        <v>LB1775</v>
      </c>
      <c r="Z177" t="str">
        <f t="shared" si="78"/>
        <v>2018/08/11 13:34:01</v>
      </c>
      <c r="AA177" t="str">
        <f t="shared" si="65"/>
        <v>catc</v>
      </c>
      <c r="AC177" t="str">
        <f>("L779")</f>
        <v>L779</v>
      </c>
      <c r="AE177" t="str">
        <f t="shared" si="71"/>
        <v>c.1</v>
      </c>
      <c r="AF177" t="str">
        <f t="shared" si="60"/>
        <v>1.可借圖書</v>
      </c>
      <c r="AG177" t="str">
        <f t="shared" si="69"/>
        <v>在架</v>
      </c>
      <c r="AI177" t="s">
        <v>65</v>
      </c>
      <c r="AK177" t="str">
        <f t="shared" si="66"/>
        <v>一般(Normal)</v>
      </c>
      <c r="AO177" t="s">
        <v>65</v>
      </c>
      <c r="AS177" t="str">
        <f>("2000.")</f>
        <v>2000.</v>
      </c>
      <c r="AT177" t="str">
        <f t="shared" si="67"/>
        <v>catc</v>
      </c>
    </row>
    <row r="178" spans="1:46" x14ac:dyDescent="0.25">
      <c r="A178">
        <v>167</v>
      </c>
      <c r="B178" t="str">
        <f>("289076")</f>
        <v>289076</v>
      </c>
      <c r="C178" t="str">
        <f>("W00002203")</f>
        <v>W00002203</v>
      </c>
      <c r="D178" t="str">
        <f>("Mastering virtual teams : strategies, tools, and techniques that succeed / ")</f>
        <v xml:space="preserve">Mastering virtual teams : strategies, tools, and techniques that succeed / </v>
      </c>
      <c r="E178" t="str">
        <f>("Duarte, Deborah L., 1956- ")</f>
        <v xml:space="preserve">Duarte, Deborah L., 1956- </v>
      </c>
      <c r="F178" t="str">
        <f>("Jossey-Bass, ")</f>
        <v xml:space="preserve">Jossey-Bass, </v>
      </c>
      <c r="G178" t="str">
        <f>("2nd ed. ")</f>
        <v xml:space="preserve">2nd ed. </v>
      </c>
      <c r="H178" t="str">
        <f t="shared" si="72"/>
        <v>圖書 book</v>
      </c>
      <c r="I178" t="str">
        <f>("HD66 D812-2 2001")</f>
        <v>HD66 D812-2 2001</v>
      </c>
      <c r="J178" t="str">
        <f>("0787955892")</f>
        <v>0787955892</v>
      </c>
      <c r="K178" t="str">
        <f>("1212")</f>
        <v>1212</v>
      </c>
      <c r="L178" t="str">
        <f t="shared" si="63"/>
        <v>2001/10/10 00:00:00</v>
      </c>
      <c r="M178" t="str">
        <f t="shared" si="77"/>
        <v>2018/08/11 13:34:01</v>
      </c>
      <c r="N178" t="str">
        <f>("2001")</f>
        <v>2001</v>
      </c>
      <c r="O178" t="str">
        <f t="shared" si="68"/>
        <v>4F西文書庫 4F Western Language Books</v>
      </c>
      <c r="P178" t="s">
        <v>64</v>
      </c>
      <c r="W178" t="str">
        <f t="shared" si="79"/>
        <v>美國國會圖書分類法</v>
      </c>
      <c r="Y178" t="str">
        <f>("HD66")</f>
        <v>HD66</v>
      </c>
      <c r="Z178" t="str">
        <f t="shared" si="78"/>
        <v>2018/08/11 13:34:01</v>
      </c>
      <c r="AA178" t="str">
        <f t="shared" si="65"/>
        <v>catc</v>
      </c>
      <c r="AC178" t="str">
        <f>("D812-2")</f>
        <v>D812-2</v>
      </c>
      <c r="AE178" t="str">
        <f t="shared" si="71"/>
        <v>c.1</v>
      </c>
      <c r="AF178" t="str">
        <f t="shared" si="60"/>
        <v>1.可借圖書</v>
      </c>
      <c r="AG178" t="str">
        <f t="shared" si="69"/>
        <v>在架</v>
      </c>
      <c r="AI178" t="s">
        <v>65</v>
      </c>
      <c r="AK178" t="str">
        <f t="shared" si="66"/>
        <v>一般(Normal)</v>
      </c>
      <c r="AO178" t="s">
        <v>65</v>
      </c>
      <c r="AS178" t="str">
        <f>("c2001. ")</f>
        <v xml:space="preserve">c2001. </v>
      </c>
      <c r="AT178" t="str">
        <f t="shared" si="67"/>
        <v>catc</v>
      </c>
    </row>
    <row r="179" spans="1:46" x14ac:dyDescent="0.25">
      <c r="A179">
        <v>168</v>
      </c>
      <c r="B179" t="str">
        <f>("289077")</f>
        <v>289077</v>
      </c>
      <c r="C179" t="str">
        <f>("W00002204")</f>
        <v>W00002204</v>
      </c>
      <c r="D179" t="str">
        <f>("Brand building on the internet/ ")</f>
        <v xml:space="preserve">Brand building on the internet/ </v>
      </c>
      <c r="E179" t="str">
        <f>("Lindstrom,Martin")</f>
        <v>Lindstrom,Martin</v>
      </c>
      <c r="F179" t="str">
        <f>("Kogan Page, ")</f>
        <v xml:space="preserve">Kogan Page, </v>
      </c>
      <c r="H179" t="str">
        <f t="shared" si="72"/>
        <v>圖書 book</v>
      </c>
      <c r="I179" t="str">
        <f>("TH3401 L748 2001")</f>
        <v>TH3401 L748 2001</v>
      </c>
      <c r="J179" t="str">
        <f>("0749433132")</f>
        <v>0749433132</v>
      </c>
      <c r="K179" t="str">
        <f>("832")</f>
        <v>832</v>
      </c>
      <c r="L179" t="str">
        <f t="shared" si="63"/>
        <v>2001/10/10 00:00:00</v>
      </c>
      <c r="M179" t="str">
        <f t="shared" si="77"/>
        <v>2018/08/11 13:34:01</v>
      </c>
      <c r="N179" t="str">
        <f>("2001")</f>
        <v>2001</v>
      </c>
      <c r="O179" t="str">
        <f t="shared" si="68"/>
        <v>4F西文書庫 4F Western Language Books</v>
      </c>
      <c r="P179" t="s">
        <v>64</v>
      </c>
      <c r="W179" t="str">
        <f t="shared" si="79"/>
        <v>美國國會圖書分類法</v>
      </c>
      <c r="Y179" t="str">
        <f>("TH3401")</f>
        <v>TH3401</v>
      </c>
      <c r="Z179" t="str">
        <f t="shared" si="78"/>
        <v>2018/08/11 13:34:01</v>
      </c>
      <c r="AA179" t="str">
        <f t="shared" si="65"/>
        <v>catc</v>
      </c>
      <c r="AC179" t="str">
        <f>("L748")</f>
        <v>L748</v>
      </c>
      <c r="AE179" t="str">
        <f t="shared" si="71"/>
        <v>c.1</v>
      </c>
      <c r="AF179" t="str">
        <f t="shared" si="60"/>
        <v>1.可借圖書</v>
      </c>
      <c r="AG179" t="str">
        <f t="shared" si="69"/>
        <v>在架</v>
      </c>
      <c r="AI179" t="s">
        <v>65</v>
      </c>
      <c r="AK179" t="str">
        <f t="shared" si="66"/>
        <v>一般(Normal)</v>
      </c>
      <c r="AO179" t="s">
        <v>65</v>
      </c>
      <c r="AS179" t="str">
        <f>("2001.")</f>
        <v>2001.</v>
      </c>
      <c r="AT179" t="str">
        <f t="shared" si="67"/>
        <v>catc</v>
      </c>
    </row>
    <row r="180" spans="1:46" x14ac:dyDescent="0.25">
      <c r="A180">
        <v>169</v>
      </c>
      <c r="B180" t="str">
        <f>("289078")</f>
        <v>289078</v>
      </c>
      <c r="C180" t="str">
        <f>("W00002205")</f>
        <v>W00002205</v>
      </c>
      <c r="D180" t="str">
        <f>("The new options market / ")</f>
        <v xml:space="preserve">The new options market / </v>
      </c>
      <c r="E180" t="str">
        <f>("Ansbacher, Max G. ")</f>
        <v xml:space="preserve">Ansbacher, Max G. </v>
      </c>
      <c r="F180" t="str">
        <f>("Wiley, ")</f>
        <v xml:space="preserve">Wiley, </v>
      </c>
      <c r="G180" t="str">
        <f>("4th ed. ")</f>
        <v xml:space="preserve">4th ed. </v>
      </c>
      <c r="H180" t="str">
        <f t="shared" si="72"/>
        <v>圖書 book</v>
      </c>
      <c r="I180" t="str">
        <f>("HG6024.A3 A617 2000")</f>
        <v>HG6024.A3 A617 2000</v>
      </c>
      <c r="J180" t="str">
        <f>("0471348805")</f>
        <v>0471348805</v>
      </c>
      <c r="K180" t="str">
        <f>("1212")</f>
        <v>1212</v>
      </c>
      <c r="L180" t="str">
        <f t="shared" si="63"/>
        <v>2001/10/10 00:00:00</v>
      </c>
      <c r="M180" t="str">
        <f>("2018/08/11 13:34:02")</f>
        <v>2018/08/11 13:34:02</v>
      </c>
      <c r="N180" t="str">
        <f>("2000")</f>
        <v>2000</v>
      </c>
      <c r="O180" t="str">
        <f t="shared" si="68"/>
        <v>4F西文書庫 4F Western Language Books</v>
      </c>
      <c r="P180" t="s">
        <v>64</v>
      </c>
      <c r="W180" t="str">
        <f t="shared" si="79"/>
        <v>美國國會圖書分類法</v>
      </c>
      <c r="Y180" t="str">
        <f>("HG6024.A3")</f>
        <v>HG6024.A3</v>
      </c>
      <c r="Z180" t="str">
        <f t="shared" si="78"/>
        <v>2018/08/11 13:34:01</v>
      </c>
      <c r="AA180" t="str">
        <f t="shared" si="65"/>
        <v>catc</v>
      </c>
      <c r="AC180" t="str">
        <f>("A617")</f>
        <v>A617</v>
      </c>
      <c r="AE180" t="str">
        <f t="shared" si="71"/>
        <v>c.1</v>
      </c>
      <c r="AF180" t="str">
        <f t="shared" si="60"/>
        <v>1.可借圖書</v>
      </c>
      <c r="AG180" t="str">
        <f t="shared" si="69"/>
        <v>在架</v>
      </c>
      <c r="AI180" t="s">
        <v>65</v>
      </c>
      <c r="AK180" t="str">
        <f t="shared" si="66"/>
        <v>一般(Normal)</v>
      </c>
      <c r="AO180" t="s">
        <v>65</v>
      </c>
      <c r="AS180" t="str">
        <f>("c2000. ")</f>
        <v xml:space="preserve">c2000. </v>
      </c>
      <c r="AT180" t="str">
        <f t="shared" si="67"/>
        <v>catc</v>
      </c>
    </row>
    <row r="181" spans="1:46" x14ac:dyDescent="0.25">
      <c r="A181">
        <v>170</v>
      </c>
      <c r="B181" t="str">
        <f>("289079")</f>
        <v>289079</v>
      </c>
      <c r="C181" t="str">
        <f>("W00002206")</f>
        <v>W00002206</v>
      </c>
      <c r="D181" t="str">
        <f>("Work, postmodernism and organization : a critical introduction / ")</f>
        <v xml:space="preserve">Work, postmodernism and organization : a critical introduction / </v>
      </c>
      <c r="E181" t="str">
        <f>("Hancock, Philip, 1965- ")</f>
        <v xml:space="preserve">Hancock, Philip, 1965- </v>
      </c>
      <c r="F181" t="str">
        <f>("SAGE, ")</f>
        <v xml:space="preserve">SAGE, </v>
      </c>
      <c r="H181" t="str">
        <f t="shared" si="72"/>
        <v>圖書 book</v>
      </c>
      <c r="I181" t="str">
        <f>("HD4904 H235 2001")</f>
        <v>HD4904 H235 2001</v>
      </c>
      <c r="J181" t="str">
        <f>("0761959440")</f>
        <v>0761959440</v>
      </c>
      <c r="K181" t="str">
        <f>("880")</f>
        <v>880</v>
      </c>
      <c r="L181" t="str">
        <f t="shared" si="63"/>
        <v>2001/10/10 00:00:00</v>
      </c>
      <c r="M181" t="str">
        <f>("2018/08/11 13:34:02")</f>
        <v>2018/08/11 13:34:02</v>
      </c>
      <c r="N181" t="str">
        <f>("2001")</f>
        <v>2001</v>
      </c>
      <c r="O181" t="str">
        <f t="shared" si="68"/>
        <v>4F西文書庫 4F Western Language Books</v>
      </c>
      <c r="P181" t="s">
        <v>64</v>
      </c>
      <c r="W181" t="str">
        <f t="shared" si="79"/>
        <v>美國國會圖書分類法</v>
      </c>
      <c r="Y181" t="str">
        <f>("HD4904")</f>
        <v>HD4904</v>
      </c>
      <c r="Z181" t="str">
        <f>("2018/08/11 13:34:02")</f>
        <v>2018/08/11 13:34:02</v>
      </c>
      <c r="AA181" t="str">
        <f t="shared" si="65"/>
        <v>catc</v>
      </c>
      <c r="AC181" t="str">
        <f>("H235")</f>
        <v>H235</v>
      </c>
      <c r="AE181" t="str">
        <f t="shared" si="71"/>
        <v>c.1</v>
      </c>
      <c r="AF181" t="str">
        <f t="shared" si="60"/>
        <v>1.可借圖書</v>
      </c>
      <c r="AG181" t="str">
        <f t="shared" si="69"/>
        <v>在架</v>
      </c>
      <c r="AI181" t="s">
        <v>65</v>
      </c>
      <c r="AK181" t="str">
        <f t="shared" si="66"/>
        <v>一般(Normal)</v>
      </c>
      <c r="AO181" t="s">
        <v>65</v>
      </c>
      <c r="AS181" t="str">
        <f>("2001. ")</f>
        <v xml:space="preserve">2001. </v>
      </c>
      <c r="AT181" t="str">
        <f t="shared" si="67"/>
        <v>catc</v>
      </c>
    </row>
    <row r="182" spans="1:46" x14ac:dyDescent="0.25">
      <c r="A182">
        <v>171</v>
      </c>
      <c r="B182" t="str">
        <f>("288521")</f>
        <v>288521</v>
      </c>
      <c r="C182" t="str">
        <f>("W00002207")</f>
        <v>W00002207</v>
      </c>
      <c r="D182" t="str">
        <f>("Theories of organizational stress /")</f>
        <v>Theories of organizational stress /</v>
      </c>
      <c r="E182" t="str">
        <f>("Cooper, Cary L ")</f>
        <v xml:space="preserve">Cooper, Cary L </v>
      </c>
      <c r="F182" t="str">
        <f>("Oxford University Press,")</f>
        <v>Oxford University Press,</v>
      </c>
      <c r="H182" t="str">
        <f t="shared" si="72"/>
        <v>圖書 book</v>
      </c>
      <c r="I182" t="str">
        <f>("HF5548.85 T396 1998 c.2")</f>
        <v>HF5548.85 T396 1998 c.2</v>
      </c>
      <c r="J182" t="str">
        <f>("0198522797;019829705X")</f>
        <v>0198522797;019829705X</v>
      </c>
      <c r="K182" t="str">
        <f>("748")</f>
        <v>748</v>
      </c>
      <c r="L182" t="str">
        <f t="shared" si="63"/>
        <v>2001/10/10 00:00:00</v>
      </c>
      <c r="M182" t="str">
        <f>("2018/08/11 13:33:06")</f>
        <v>2018/08/11 13:33:06</v>
      </c>
      <c r="N182" t="str">
        <f>("1998")</f>
        <v>1998</v>
      </c>
      <c r="O182" t="str">
        <f>("罕用書庫1-洽櫃台填單 Upon-Request Collection1 fil")</f>
        <v>罕用書庫1-洽櫃台填單 Upon-Request Collection1 fil</v>
      </c>
      <c r="P182" t="s">
        <v>64</v>
      </c>
      <c r="S182" t="str">
        <f>("xviii, 275 p. :")</f>
        <v>xviii, 275 p. :</v>
      </c>
      <c r="T182" t="str">
        <f>("ill. ;")</f>
        <v>ill. ;</v>
      </c>
      <c r="U182" t="str">
        <f>("24 cm ")</f>
        <v xml:space="preserve">24 cm </v>
      </c>
      <c r="W182" t="str">
        <f t="shared" si="79"/>
        <v>美國國會圖書分類法</v>
      </c>
      <c r="Y182" t="str">
        <f>("HF5548.85")</f>
        <v>HF5548.85</v>
      </c>
      <c r="Z182" t="str">
        <f>("2018/08/11 13:33:06")</f>
        <v>2018/08/11 13:33:06</v>
      </c>
      <c r="AA182" t="str">
        <f t="shared" si="65"/>
        <v>catc</v>
      </c>
      <c r="AC182" t="str">
        <f>("T396")</f>
        <v>T396</v>
      </c>
      <c r="AE182" t="str">
        <f>("c.2")</f>
        <v>c.2</v>
      </c>
      <c r="AF182" t="str">
        <f>("不流通")</f>
        <v>不流通</v>
      </c>
      <c r="AG182" t="str">
        <f>("報銷中")</f>
        <v>報銷中</v>
      </c>
      <c r="AI182" t="s">
        <v>65</v>
      </c>
      <c r="AK182" t="str">
        <f t="shared" si="66"/>
        <v>一般(Normal)</v>
      </c>
      <c r="AO182" t="s">
        <v>65</v>
      </c>
      <c r="AS182" t="str">
        <f>("1998 ")</f>
        <v xml:space="preserve">1998 </v>
      </c>
      <c r="AT182" t="str">
        <f t="shared" si="67"/>
        <v>catc</v>
      </c>
    </row>
    <row r="183" spans="1:46" x14ac:dyDescent="0.25">
      <c r="A183">
        <v>172</v>
      </c>
      <c r="B183" t="str">
        <f>("289080")</f>
        <v>289080</v>
      </c>
      <c r="C183" t="str">
        <f>("W00002208")</f>
        <v>W00002208</v>
      </c>
      <c r="D183" t="str">
        <f>("Linguistics : an introduction / ")</f>
        <v xml:space="preserve">Linguistics : an introduction / </v>
      </c>
      <c r="E183" t="str">
        <f>("Napoli, Donna Jo, 1948- ")</f>
        <v xml:space="preserve">Napoli, Donna Jo, 1948- </v>
      </c>
      <c r="F183" t="str">
        <f>("Oxford University Press, ")</f>
        <v xml:space="preserve">Oxford University Press, </v>
      </c>
      <c r="H183" t="str">
        <f t="shared" si="72"/>
        <v>圖書 book</v>
      </c>
      <c r="I183" t="str">
        <f>("P121 N216 1996")</f>
        <v>P121 N216 1996</v>
      </c>
      <c r="J183" t="str">
        <f>("0195091752")</f>
        <v>0195091752</v>
      </c>
      <c r="K183" t="str">
        <f>("576")</f>
        <v>576</v>
      </c>
      <c r="L183" t="str">
        <f t="shared" si="63"/>
        <v>2001/10/10 00:00:00</v>
      </c>
      <c r="M183" t="str">
        <f t="shared" ref="M183:M190" si="80">("2018/08/11 13:34:02")</f>
        <v>2018/08/11 13:34:02</v>
      </c>
      <c r="N183" t="str">
        <f>("1996")</f>
        <v>1996</v>
      </c>
      <c r="O183" t="str">
        <f>("罕用書庫1-洽櫃台填單 Upon-Request Collection1 fil")</f>
        <v>罕用書庫1-洽櫃台填單 Upon-Request Collection1 fil</v>
      </c>
      <c r="P183" t="s">
        <v>64</v>
      </c>
      <c r="S183" t="str">
        <f>("vii, 580 p. : ")</f>
        <v xml:space="preserve">vii, 580 p. : </v>
      </c>
      <c r="T183" t="str">
        <f>("ill. ; ")</f>
        <v xml:space="preserve">ill. ; </v>
      </c>
      <c r="U183" t="str">
        <f>("24 cm. ")</f>
        <v xml:space="preserve">24 cm. </v>
      </c>
      <c r="W183" t="str">
        <f t="shared" si="79"/>
        <v>美國國會圖書分類法</v>
      </c>
      <c r="Y183" t="str">
        <f>("P121")</f>
        <v>P121</v>
      </c>
      <c r="Z183" t="str">
        <f t="shared" ref="Z183:Z191" si="81">("2018/08/11 13:34:02")</f>
        <v>2018/08/11 13:34:02</v>
      </c>
      <c r="AA183" t="str">
        <f t="shared" si="65"/>
        <v>catc</v>
      </c>
      <c r="AC183" t="str">
        <f>("N216")</f>
        <v>N216</v>
      </c>
      <c r="AE183" t="str">
        <f t="shared" ref="AE183:AE214" si="82">("c.1")</f>
        <v>c.1</v>
      </c>
      <c r="AF183" t="str">
        <f>("不流通")</f>
        <v>不流通</v>
      </c>
      <c r="AG183" t="str">
        <f>("報銷中")</f>
        <v>報銷中</v>
      </c>
      <c r="AI183" t="s">
        <v>65</v>
      </c>
      <c r="AK183" t="str">
        <f t="shared" si="66"/>
        <v>一般(Normal)</v>
      </c>
      <c r="AO183" t="s">
        <v>65</v>
      </c>
      <c r="AS183" t="str">
        <f>("1996. ")</f>
        <v xml:space="preserve">1996. </v>
      </c>
      <c r="AT183" t="str">
        <f t="shared" si="67"/>
        <v>catc</v>
      </c>
    </row>
    <row r="184" spans="1:46" x14ac:dyDescent="0.25">
      <c r="A184">
        <v>173</v>
      </c>
      <c r="B184" t="str">
        <f>("289094")</f>
        <v>289094</v>
      </c>
      <c r="C184" t="str">
        <f>("W00002209")</f>
        <v>W00002209</v>
      </c>
      <c r="D184" t="str">
        <f>("Into the community : nursing in ambulatory and home care / ")</f>
        <v xml:space="preserve">Into the community : nursing in ambulatory and home care / </v>
      </c>
      <c r="E184" t="str">
        <f>("Stackhouse, Joan C. ")</f>
        <v xml:space="preserve">Stackhouse, Joan C. </v>
      </c>
      <c r="F184" t="str">
        <f>("Lippincott, ")</f>
        <v xml:space="preserve">Lippincott, </v>
      </c>
      <c r="H184" t="str">
        <f t="shared" si="72"/>
        <v>圖書 book</v>
      </c>
      <c r="I184" t="str">
        <f>("RT98 S765 1998")</f>
        <v>RT98 S765 1998</v>
      </c>
      <c r="J184" t="str">
        <f>("0397554753")</f>
        <v>0397554753</v>
      </c>
      <c r="K184" t="str">
        <f>("884")</f>
        <v>884</v>
      </c>
      <c r="L184" t="str">
        <f t="shared" si="63"/>
        <v>2001/10/10 00:00:00</v>
      </c>
      <c r="M184" t="str">
        <f t="shared" si="80"/>
        <v>2018/08/11 13:34:02</v>
      </c>
      <c r="N184" t="str">
        <f>("1998")</f>
        <v>1998</v>
      </c>
      <c r="O184" t="str">
        <f t="shared" ref="O184:O222" si="83">("4F西文書庫 4F Western Language Books")</f>
        <v>4F西文書庫 4F Western Language Books</v>
      </c>
      <c r="P184" t="s">
        <v>64</v>
      </c>
      <c r="W184" t="str">
        <f t="shared" si="79"/>
        <v>美國國會圖書分類法</v>
      </c>
      <c r="Y184" t="str">
        <f>("RT98")</f>
        <v>RT98</v>
      </c>
      <c r="Z184" t="str">
        <f t="shared" si="81"/>
        <v>2018/08/11 13:34:02</v>
      </c>
      <c r="AA184" t="str">
        <f t="shared" si="65"/>
        <v>catc</v>
      </c>
      <c r="AC184" t="str">
        <f>("S765")</f>
        <v>S765</v>
      </c>
      <c r="AE184" t="str">
        <f t="shared" si="82"/>
        <v>c.1</v>
      </c>
      <c r="AF184" t="str">
        <f t="shared" ref="AF184:AF222" si="84">("1.可借圖書")</f>
        <v>1.可借圖書</v>
      </c>
      <c r="AG184" t="str">
        <f t="shared" ref="AG184:AG222" si="85">("在架")</f>
        <v>在架</v>
      </c>
      <c r="AI184" t="s">
        <v>65</v>
      </c>
      <c r="AK184" t="str">
        <f t="shared" si="66"/>
        <v>一般(Normal)</v>
      </c>
      <c r="AO184" t="s">
        <v>65</v>
      </c>
      <c r="AS184" t="str">
        <f>("c1998. ")</f>
        <v xml:space="preserve">c1998. </v>
      </c>
      <c r="AT184" t="str">
        <f t="shared" si="67"/>
        <v>catc</v>
      </c>
    </row>
    <row r="185" spans="1:46" x14ac:dyDescent="0.25">
      <c r="A185">
        <v>174</v>
      </c>
      <c r="B185" t="str">
        <f>("289095")</f>
        <v>289095</v>
      </c>
      <c r="C185" t="str">
        <f>("W00002210")</f>
        <v>W00002210</v>
      </c>
      <c r="D185" t="str">
        <f>("Financially focused quality / ")</f>
        <v xml:space="preserve">Financially focused quality / </v>
      </c>
      <c r="E185" t="str">
        <f>("Cappels, Thomas M., 1953- ")</f>
        <v xml:space="preserve">Cappels, Thomas M., 1953- </v>
      </c>
      <c r="F185" t="str">
        <f>("St. Lucie Press, ")</f>
        <v xml:space="preserve">St. Lucie Press, </v>
      </c>
      <c r="H185" t="str">
        <f t="shared" si="72"/>
        <v>圖書 book</v>
      </c>
      <c r="I185" t="str">
        <f>("HD30.22 C248 2000")</f>
        <v>HD30.22 C248 2000</v>
      </c>
      <c r="J185" t="str">
        <f>("1574442481")</f>
        <v>1574442481</v>
      </c>
      <c r="K185" t="str">
        <f>("1168")</f>
        <v>1168</v>
      </c>
      <c r="L185" t="str">
        <f t="shared" si="63"/>
        <v>2001/10/10 00:00:00</v>
      </c>
      <c r="M185" t="str">
        <f t="shared" si="80"/>
        <v>2018/08/11 13:34:02</v>
      </c>
      <c r="N185" t="str">
        <f>("2000")</f>
        <v>2000</v>
      </c>
      <c r="O185" t="str">
        <f t="shared" si="83"/>
        <v>4F西文書庫 4F Western Language Books</v>
      </c>
      <c r="P185" t="s">
        <v>64</v>
      </c>
      <c r="W185" t="str">
        <f t="shared" si="79"/>
        <v>美國國會圖書分類法</v>
      </c>
      <c r="Y185" t="str">
        <f>("HD30.22")</f>
        <v>HD30.22</v>
      </c>
      <c r="Z185" t="str">
        <f t="shared" si="81"/>
        <v>2018/08/11 13:34:02</v>
      </c>
      <c r="AA185" t="str">
        <f t="shared" si="65"/>
        <v>catc</v>
      </c>
      <c r="AC185" t="str">
        <f>("C248")</f>
        <v>C248</v>
      </c>
      <c r="AE185" t="str">
        <f t="shared" si="82"/>
        <v>c.1</v>
      </c>
      <c r="AF185" t="str">
        <f t="shared" si="84"/>
        <v>1.可借圖書</v>
      </c>
      <c r="AG185" t="str">
        <f t="shared" si="85"/>
        <v>在架</v>
      </c>
      <c r="AI185" t="s">
        <v>65</v>
      </c>
      <c r="AK185" t="str">
        <f t="shared" si="66"/>
        <v>一般(Normal)</v>
      </c>
      <c r="AO185" t="s">
        <v>65</v>
      </c>
      <c r="AS185" t="str">
        <f>("c2000. ")</f>
        <v xml:space="preserve">c2000. </v>
      </c>
      <c r="AT185" t="str">
        <f t="shared" si="67"/>
        <v>catc</v>
      </c>
    </row>
    <row r="186" spans="1:46" x14ac:dyDescent="0.25">
      <c r="A186">
        <v>175</v>
      </c>
      <c r="B186" t="str">
        <f>("289096")</f>
        <v>289096</v>
      </c>
      <c r="C186" t="str">
        <f>("W00002211")</f>
        <v>W00002211</v>
      </c>
      <c r="D186" t="str">
        <f>("A general theory of competition : resources, competences, productivity, economic growth / ")</f>
        <v xml:space="preserve">A general theory of competition : resources, competences, productivity, economic growth / </v>
      </c>
      <c r="E186" t="str">
        <f>("Hunt, Shelby D. ")</f>
        <v xml:space="preserve">Hunt, Shelby D. </v>
      </c>
      <c r="F186" t="str">
        <f>("Sage Publications, ")</f>
        <v xml:space="preserve">Sage Publications, </v>
      </c>
      <c r="H186" t="str">
        <f t="shared" si="72"/>
        <v>圖書 book</v>
      </c>
      <c r="I186" t="str">
        <f>("HB238 H939 2000")</f>
        <v>HB238 H939 2000</v>
      </c>
      <c r="J186" t="str">
        <f>("0761917292")</f>
        <v>0761917292</v>
      </c>
      <c r="K186" t="str">
        <f>("1012")</f>
        <v>1012</v>
      </c>
      <c r="L186" t="str">
        <f t="shared" si="63"/>
        <v>2001/10/10 00:00:00</v>
      </c>
      <c r="M186" t="str">
        <f t="shared" si="80"/>
        <v>2018/08/11 13:34:02</v>
      </c>
      <c r="N186" t="str">
        <f>("2000")</f>
        <v>2000</v>
      </c>
      <c r="O186" t="str">
        <f t="shared" si="83"/>
        <v>4F西文書庫 4F Western Language Books</v>
      </c>
      <c r="P186" t="s">
        <v>64</v>
      </c>
      <c r="W186" t="str">
        <f t="shared" si="79"/>
        <v>美國國會圖書分類法</v>
      </c>
      <c r="Y186" t="str">
        <f>("HB238")</f>
        <v>HB238</v>
      </c>
      <c r="Z186" t="str">
        <f t="shared" si="81"/>
        <v>2018/08/11 13:34:02</v>
      </c>
      <c r="AA186" t="str">
        <f t="shared" si="65"/>
        <v>catc</v>
      </c>
      <c r="AC186" t="str">
        <f>("H939")</f>
        <v>H939</v>
      </c>
      <c r="AE186" t="str">
        <f t="shared" si="82"/>
        <v>c.1</v>
      </c>
      <c r="AF186" t="str">
        <f t="shared" si="84"/>
        <v>1.可借圖書</v>
      </c>
      <c r="AG186" t="str">
        <f t="shared" si="85"/>
        <v>在架</v>
      </c>
      <c r="AI186" t="s">
        <v>65</v>
      </c>
      <c r="AK186" t="str">
        <f t="shared" si="66"/>
        <v>一般(Normal)</v>
      </c>
      <c r="AO186" t="s">
        <v>65</v>
      </c>
      <c r="AS186" t="str">
        <f>("c2000. ")</f>
        <v xml:space="preserve">c2000. </v>
      </c>
      <c r="AT186" t="str">
        <f t="shared" si="67"/>
        <v>catc</v>
      </c>
    </row>
    <row r="187" spans="1:46" x14ac:dyDescent="0.25">
      <c r="A187">
        <v>176</v>
      </c>
      <c r="B187" t="str">
        <f>("289097")</f>
        <v>289097</v>
      </c>
      <c r="C187" t="str">
        <f>("W00002212")</f>
        <v>W00002212</v>
      </c>
      <c r="D187" t="str">
        <f>("The passion plan at work : building a passion-driven organization / ")</f>
        <v xml:space="preserve">The passion plan at work : building a passion-driven organization / </v>
      </c>
      <c r="E187" t="str">
        <f>("Chang, Richard Y. ")</f>
        <v xml:space="preserve">Chang, Richard Y. </v>
      </c>
      <c r="F187" t="str">
        <f>("Jossey-Bass, ")</f>
        <v xml:space="preserve">Jossey-Bass, </v>
      </c>
      <c r="G187" t="str">
        <f>("1st ed. ")</f>
        <v xml:space="preserve">1st ed. </v>
      </c>
      <c r="H187" t="str">
        <f t="shared" si="72"/>
        <v>圖書 book</v>
      </c>
      <c r="I187" t="str">
        <f>("HD58.9 C454 2001")</f>
        <v>HD58.9 C454 2001</v>
      </c>
      <c r="J187" t="str">
        <f>("0787952559")</f>
        <v>0787952559</v>
      </c>
      <c r="K187" t="str">
        <f>("760")</f>
        <v>760</v>
      </c>
      <c r="L187" t="str">
        <f t="shared" si="63"/>
        <v>2001/10/10 00:00:00</v>
      </c>
      <c r="M187" t="str">
        <f t="shared" si="80"/>
        <v>2018/08/11 13:34:02</v>
      </c>
      <c r="N187" t="str">
        <f>("2001")</f>
        <v>2001</v>
      </c>
      <c r="O187" t="str">
        <f t="shared" si="83"/>
        <v>4F西文書庫 4F Western Language Books</v>
      </c>
      <c r="P187" t="s">
        <v>64</v>
      </c>
      <c r="W187" t="str">
        <f t="shared" si="79"/>
        <v>美國國會圖書分類法</v>
      </c>
      <c r="Y187" t="str">
        <f>("HD58.9")</f>
        <v>HD58.9</v>
      </c>
      <c r="Z187" t="str">
        <f t="shared" si="81"/>
        <v>2018/08/11 13:34:02</v>
      </c>
      <c r="AA187" t="str">
        <f t="shared" si="65"/>
        <v>catc</v>
      </c>
      <c r="AC187" t="str">
        <f>("C454")</f>
        <v>C454</v>
      </c>
      <c r="AE187" t="str">
        <f t="shared" si="82"/>
        <v>c.1</v>
      </c>
      <c r="AF187" t="str">
        <f t="shared" si="84"/>
        <v>1.可借圖書</v>
      </c>
      <c r="AG187" t="str">
        <f t="shared" si="85"/>
        <v>在架</v>
      </c>
      <c r="AI187" t="s">
        <v>65</v>
      </c>
      <c r="AK187" t="str">
        <f t="shared" si="66"/>
        <v>一般(Normal)</v>
      </c>
      <c r="AO187" t="s">
        <v>65</v>
      </c>
      <c r="AS187" t="str">
        <f>("c2001. ")</f>
        <v xml:space="preserve">c2001. </v>
      </c>
      <c r="AT187" t="str">
        <f t="shared" si="67"/>
        <v>catc</v>
      </c>
    </row>
    <row r="188" spans="1:46" x14ac:dyDescent="0.25">
      <c r="A188">
        <v>177</v>
      </c>
      <c r="B188" t="str">
        <f>("289098")</f>
        <v>289098</v>
      </c>
      <c r="C188" t="str">
        <f>("W00002213")</f>
        <v>W00002213</v>
      </c>
      <c r="D188" t="str">
        <f>("Healing addictions : the vulnerability model of recovery / ")</f>
        <v xml:space="preserve">Healing addictions : the vulnerability model of recovery / </v>
      </c>
      <c r="E188" t="str">
        <f>("Schaub, Bonney Gulino. ")</f>
        <v xml:space="preserve">Schaub, Bonney Gulino. </v>
      </c>
      <c r="F188" t="str">
        <f>("Delmar, ")</f>
        <v xml:space="preserve">Delmar, </v>
      </c>
      <c r="H188" t="str">
        <f t="shared" si="72"/>
        <v>圖書 book</v>
      </c>
      <c r="I188" t="str">
        <f>("RC564 S313 1997")</f>
        <v>RC564 S313 1997</v>
      </c>
      <c r="J188" t="str">
        <f>("0827370911")</f>
        <v>0827370911</v>
      </c>
      <c r="K188" t="str">
        <f>("904")</f>
        <v>904</v>
      </c>
      <c r="L188" t="str">
        <f t="shared" si="63"/>
        <v>2001/10/10 00:00:00</v>
      </c>
      <c r="M188" t="str">
        <f t="shared" si="80"/>
        <v>2018/08/11 13:34:02</v>
      </c>
      <c r="N188" t="str">
        <f>("1997")</f>
        <v>1997</v>
      </c>
      <c r="O188" t="str">
        <f t="shared" si="83"/>
        <v>4F西文書庫 4F Western Language Books</v>
      </c>
      <c r="P188" t="s">
        <v>64</v>
      </c>
      <c r="W188" t="str">
        <f t="shared" si="79"/>
        <v>美國國會圖書分類法</v>
      </c>
      <c r="Y188" t="str">
        <f>("RC564")</f>
        <v>RC564</v>
      </c>
      <c r="Z188" t="str">
        <f t="shared" si="81"/>
        <v>2018/08/11 13:34:02</v>
      </c>
      <c r="AA188" t="str">
        <f t="shared" si="65"/>
        <v>catc</v>
      </c>
      <c r="AC188" t="str">
        <f>("S313")</f>
        <v>S313</v>
      </c>
      <c r="AE188" t="str">
        <f t="shared" si="82"/>
        <v>c.1</v>
      </c>
      <c r="AF188" t="str">
        <f t="shared" si="84"/>
        <v>1.可借圖書</v>
      </c>
      <c r="AG188" t="str">
        <f t="shared" si="85"/>
        <v>在架</v>
      </c>
      <c r="AI188" t="s">
        <v>65</v>
      </c>
      <c r="AK188" t="str">
        <f t="shared" si="66"/>
        <v>一般(Normal)</v>
      </c>
      <c r="AO188" t="s">
        <v>65</v>
      </c>
      <c r="AS188" t="str">
        <f>("c1997. ")</f>
        <v xml:space="preserve">c1997. </v>
      </c>
      <c r="AT188" t="str">
        <f t="shared" si="67"/>
        <v>catc</v>
      </c>
    </row>
    <row r="189" spans="1:46" x14ac:dyDescent="0.25">
      <c r="A189">
        <v>178</v>
      </c>
      <c r="B189" t="str">
        <f>("289099")</f>
        <v>289099</v>
      </c>
      <c r="C189" t="str">
        <f>("W00002214")</f>
        <v>W00002214</v>
      </c>
      <c r="D189" t="str">
        <f>("Organizing &amp; organizations : an introduction / ")</f>
        <v xml:space="preserve">Organizing &amp; organizations : an introduction / </v>
      </c>
      <c r="E189" t="str">
        <f>("Gabriel, Yiannis, 1952- ")</f>
        <v xml:space="preserve">Gabriel, Yiannis, 1952- </v>
      </c>
      <c r="F189" t="str">
        <f>("Sage Publications, ")</f>
        <v xml:space="preserve">Sage Publications, </v>
      </c>
      <c r="G189" t="str">
        <f>("2nd ed. ")</f>
        <v xml:space="preserve">2nd ed. </v>
      </c>
      <c r="H189" t="str">
        <f t="shared" si="72"/>
        <v>圖書 book</v>
      </c>
      <c r="I189" t="str">
        <f>("HM786 G118 2000")</f>
        <v>HM786 G118 2000</v>
      </c>
      <c r="J189" t="str">
        <f>("0761962808")</f>
        <v>0761962808</v>
      </c>
      <c r="K189" t="str">
        <f>("880")</f>
        <v>880</v>
      </c>
      <c r="L189" t="str">
        <f t="shared" si="63"/>
        <v>2001/10/10 00:00:00</v>
      </c>
      <c r="M189" t="str">
        <f t="shared" si="80"/>
        <v>2018/08/11 13:34:02</v>
      </c>
      <c r="N189" t="str">
        <f>("2000")</f>
        <v>2000</v>
      </c>
      <c r="O189" t="str">
        <f t="shared" si="83"/>
        <v>4F西文書庫 4F Western Language Books</v>
      </c>
      <c r="P189" t="s">
        <v>64</v>
      </c>
      <c r="W189" t="str">
        <f t="shared" si="79"/>
        <v>美國國會圖書分類法</v>
      </c>
      <c r="Y189" t="str">
        <f>("HM786")</f>
        <v>HM786</v>
      </c>
      <c r="Z189" t="str">
        <f t="shared" si="81"/>
        <v>2018/08/11 13:34:02</v>
      </c>
      <c r="AA189" t="str">
        <f t="shared" si="65"/>
        <v>catc</v>
      </c>
      <c r="AC189" t="str">
        <f>("G118")</f>
        <v>G118</v>
      </c>
      <c r="AE189" t="str">
        <f t="shared" si="82"/>
        <v>c.1</v>
      </c>
      <c r="AF189" t="str">
        <f t="shared" si="84"/>
        <v>1.可借圖書</v>
      </c>
      <c r="AG189" t="str">
        <f t="shared" si="85"/>
        <v>在架</v>
      </c>
      <c r="AI189" t="s">
        <v>65</v>
      </c>
      <c r="AK189" t="str">
        <f t="shared" si="66"/>
        <v>一般(Normal)</v>
      </c>
      <c r="AO189" t="s">
        <v>65</v>
      </c>
      <c r="AS189" t="str">
        <f>("2000. ")</f>
        <v xml:space="preserve">2000. </v>
      </c>
      <c r="AT189" t="str">
        <f t="shared" si="67"/>
        <v>catc</v>
      </c>
    </row>
    <row r="190" spans="1:46" x14ac:dyDescent="0.25">
      <c r="A190">
        <v>179</v>
      </c>
      <c r="B190" t="str">
        <f>("289101")</f>
        <v>289101</v>
      </c>
      <c r="C190" t="str">
        <f>("W00002215")</f>
        <v>W00002215</v>
      </c>
      <c r="D190" t="str">
        <f>("Doing critical management research / ")</f>
        <v xml:space="preserve">Doing critical management research / </v>
      </c>
      <c r="E190" t="str">
        <f>("Alvesson, Mats, 1956- ")</f>
        <v xml:space="preserve">Alvesson, Mats, 1956- </v>
      </c>
      <c r="F190" t="str">
        <f>("Sage Publications, ")</f>
        <v xml:space="preserve">Sage Publications, </v>
      </c>
      <c r="H190" t="str">
        <f t="shared" si="72"/>
        <v>圖書 book</v>
      </c>
      <c r="I190" t="str">
        <f>("HD30.4 A474 2000")</f>
        <v>HD30.4 A474 2000</v>
      </c>
      <c r="J190" t="str">
        <f>("0761953337")</f>
        <v>0761953337</v>
      </c>
      <c r="K190" t="str">
        <f>("836")</f>
        <v>836</v>
      </c>
      <c r="L190" t="str">
        <f t="shared" si="63"/>
        <v>2001/10/10 00:00:00</v>
      </c>
      <c r="M190" t="str">
        <f t="shared" si="80"/>
        <v>2018/08/11 13:34:02</v>
      </c>
      <c r="N190" t="str">
        <f>("2000")</f>
        <v>2000</v>
      </c>
      <c r="O190" t="str">
        <f t="shared" si="83"/>
        <v>4F西文書庫 4F Western Language Books</v>
      </c>
      <c r="P190" t="s">
        <v>64</v>
      </c>
      <c r="W190" t="str">
        <f t="shared" si="79"/>
        <v>美國國會圖書分類法</v>
      </c>
      <c r="Y190" t="str">
        <f>("HD30.4")</f>
        <v>HD30.4</v>
      </c>
      <c r="Z190" t="str">
        <f t="shared" si="81"/>
        <v>2018/08/11 13:34:02</v>
      </c>
      <c r="AA190" t="str">
        <f t="shared" si="65"/>
        <v>catc</v>
      </c>
      <c r="AC190" t="str">
        <f>("A474")</f>
        <v>A474</v>
      </c>
      <c r="AE190" t="str">
        <f t="shared" si="82"/>
        <v>c.1</v>
      </c>
      <c r="AF190" t="str">
        <f t="shared" si="84"/>
        <v>1.可借圖書</v>
      </c>
      <c r="AG190" t="str">
        <f t="shared" si="85"/>
        <v>在架</v>
      </c>
      <c r="AI190" t="s">
        <v>65</v>
      </c>
      <c r="AK190" t="str">
        <f t="shared" si="66"/>
        <v>一般(Normal)</v>
      </c>
      <c r="AO190" t="s">
        <v>65</v>
      </c>
      <c r="AS190" t="str">
        <f>("2000. ")</f>
        <v xml:space="preserve">2000. </v>
      </c>
      <c r="AT190" t="str">
        <f t="shared" si="67"/>
        <v>catc</v>
      </c>
    </row>
    <row r="191" spans="1:46" x14ac:dyDescent="0.25">
      <c r="A191">
        <v>180</v>
      </c>
      <c r="B191" t="str">
        <f>("289102")</f>
        <v>289102</v>
      </c>
      <c r="C191" t="str">
        <f>("W00002216")</f>
        <v>W00002216</v>
      </c>
      <c r="D191" t="str">
        <f>("Accounting and finance for the nonfinancial executive: an integrated resource management guide for the 21st century/ ")</f>
        <v xml:space="preserve">Accounting and finance for the nonfinancial executive: an integrated resource management guide for the 21st century/ </v>
      </c>
      <c r="E191" t="str">
        <f>("Shim,Jae K.")</f>
        <v>Shim,Jae K.</v>
      </c>
      <c r="F191" t="str">
        <f>("SHIM, ")</f>
        <v xml:space="preserve">SHIM, </v>
      </c>
      <c r="H191" t="str">
        <f t="shared" si="72"/>
        <v>圖書 book</v>
      </c>
      <c r="I191" t="str">
        <f>("HF5635 S555 2000")</f>
        <v>HF5635 S555 2000</v>
      </c>
      <c r="J191" t="str">
        <f>("1574442872")</f>
        <v>1574442872</v>
      </c>
      <c r="K191" t="str">
        <f>("1316")</f>
        <v>1316</v>
      </c>
      <c r="L191" t="str">
        <f t="shared" si="63"/>
        <v>2001/10/10 00:00:00</v>
      </c>
      <c r="M191" t="str">
        <f>("2018/08/11 13:34:03")</f>
        <v>2018/08/11 13:34:03</v>
      </c>
      <c r="N191" t="str">
        <f>("2000")</f>
        <v>2000</v>
      </c>
      <c r="O191" t="str">
        <f t="shared" si="83"/>
        <v>4F西文書庫 4F Western Language Books</v>
      </c>
      <c r="P191" t="s">
        <v>64</v>
      </c>
      <c r="W191" t="str">
        <f t="shared" si="79"/>
        <v>美國國會圖書分類法</v>
      </c>
      <c r="Y191" t="str">
        <f>("HF5635")</f>
        <v>HF5635</v>
      </c>
      <c r="Z191" t="str">
        <f t="shared" si="81"/>
        <v>2018/08/11 13:34:02</v>
      </c>
      <c r="AA191" t="str">
        <f t="shared" si="65"/>
        <v>catc</v>
      </c>
      <c r="AC191" t="str">
        <f>("S555")</f>
        <v>S555</v>
      </c>
      <c r="AE191" t="str">
        <f t="shared" si="82"/>
        <v>c.1</v>
      </c>
      <c r="AF191" t="str">
        <f t="shared" si="84"/>
        <v>1.可借圖書</v>
      </c>
      <c r="AG191" t="str">
        <f t="shared" si="85"/>
        <v>在架</v>
      </c>
      <c r="AI191" t="s">
        <v>65</v>
      </c>
      <c r="AK191" t="str">
        <f t="shared" si="66"/>
        <v>一般(Normal)</v>
      </c>
      <c r="AO191" t="s">
        <v>65</v>
      </c>
      <c r="AS191" t="str">
        <f>("2000.")</f>
        <v>2000.</v>
      </c>
      <c r="AT191" t="str">
        <f t="shared" si="67"/>
        <v>catc</v>
      </c>
    </row>
    <row r="192" spans="1:46" x14ac:dyDescent="0.25">
      <c r="A192">
        <v>181</v>
      </c>
      <c r="B192" t="str">
        <f>("289103")</f>
        <v>289103</v>
      </c>
      <c r="C192" t="str">
        <f>("W00002217")</f>
        <v>W00002217</v>
      </c>
      <c r="D192" t="str">
        <f>("Healing meditation / ")</f>
        <v xml:space="preserve">Healing meditation / </v>
      </c>
      <c r="E192" t="str">
        <f>("Umlauf, Mary Grace. ")</f>
        <v xml:space="preserve">Umlauf, Mary Grace. </v>
      </c>
      <c r="F192" t="str">
        <f>("Delmar Publishers, ")</f>
        <v xml:space="preserve">Delmar Publishers, </v>
      </c>
      <c r="H192" t="str">
        <f t="shared" si="72"/>
        <v>圖書 book</v>
      </c>
      <c r="I192" t="str">
        <f>("RT86 U52 1997")</f>
        <v>RT86 U52 1997</v>
      </c>
      <c r="J192" t="str">
        <f>("0827363958")</f>
        <v>0827363958</v>
      </c>
      <c r="K192" t="str">
        <f>("1008")</f>
        <v>1008</v>
      </c>
      <c r="L192" t="str">
        <f t="shared" si="63"/>
        <v>2001/10/10 00:00:00</v>
      </c>
      <c r="M192" t="str">
        <f>("2018/08/11 13:34:03")</f>
        <v>2018/08/11 13:34:03</v>
      </c>
      <c r="N192" t="str">
        <f>("1997")</f>
        <v>1997</v>
      </c>
      <c r="O192" t="str">
        <f t="shared" si="83"/>
        <v>4F西文書庫 4F Western Language Books</v>
      </c>
      <c r="P192" t="s">
        <v>64</v>
      </c>
      <c r="W192" t="str">
        <f t="shared" si="79"/>
        <v>美國國會圖書分類法</v>
      </c>
      <c r="Y192" t="str">
        <f>("RT86")</f>
        <v>RT86</v>
      </c>
      <c r="Z192" t="str">
        <f>("2018/08/11 13:34:03")</f>
        <v>2018/08/11 13:34:03</v>
      </c>
      <c r="AA192" t="str">
        <f t="shared" si="65"/>
        <v>catc</v>
      </c>
      <c r="AC192" t="str">
        <f>("U52")</f>
        <v>U52</v>
      </c>
      <c r="AE192" t="str">
        <f t="shared" si="82"/>
        <v>c.1</v>
      </c>
      <c r="AF192" t="str">
        <f t="shared" si="84"/>
        <v>1.可借圖書</v>
      </c>
      <c r="AG192" t="str">
        <f t="shared" si="85"/>
        <v>在架</v>
      </c>
      <c r="AI192" t="s">
        <v>65</v>
      </c>
      <c r="AK192" t="str">
        <f t="shared" si="66"/>
        <v>一般(Normal)</v>
      </c>
      <c r="AO192" t="s">
        <v>65</v>
      </c>
      <c r="AS192" t="str">
        <f>("c1997. ")</f>
        <v xml:space="preserve">c1997. </v>
      </c>
      <c r="AT192" t="str">
        <f t="shared" si="67"/>
        <v>catc</v>
      </c>
    </row>
    <row r="193" spans="1:46" x14ac:dyDescent="0.25">
      <c r="A193">
        <v>182</v>
      </c>
      <c r="B193" t="str">
        <f>("288178")</f>
        <v>288178</v>
      </c>
      <c r="C193" t="str">
        <f>("W00002218")</f>
        <v>W00002218</v>
      </c>
      <c r="D193" t="str">
        <f>("101 investment tools for buying low and selling high / ")</f>
        <v xml:space="preserve">101 investment tools for buying low and selling high / </v>
      </c>
      <c r="E193" t="str">
        <f>("Shim, Jae K. ")</f>
        <v xml:space="preserve">Shim, Jae K. </v>
      </c>
      <c r="F193" t="str">
        <f>("St. Lucie Press, ")</f>
        <v xml:space="preserve">St. Lucie Press, </v>
      </c>
      <c r="H193" t="str">
        <f t="shared" si="72"/>
        <v>圖書 book</v>
      </c>
      <c r="I193" t="str">
        <f>("HG6041 S555 2001")</f>
        <v>HG6041 S555 2001</v>
      </c>
      <c r="J193" t="str">
        <f>("091094413x")</f>
        <v>091094413x</v>
      </c>
      <c r="K193" t="str">
        <f>("1168")</f>
        <v>1168</v>
      </c>
      <c r="L193" t="str">
        <f t="shared" si="63"/>
        <v>2001/10/10 00:00:00</v>
      </c>
      <c r="M193" t="str">
        <f>("2018/08/11 13:32:33")</f>
        <v>2018/08/11 13:32:33</v>
      </c>
      <c r="N193" t="str">
        <f>("2001")</f>
        <v>2001</v>
      </c>
      <c r="O193" t="str">
        <f t="shared" si="83"/>
        <v>4F西文書庫 4F Western Language Books</v>
      </c>
      <c r="P193" t="s">
        <v>64</v>
      </c>
      <c r="S193" t="str">
        <f>("273 p. : ")</f>
        <v xml:space="preserve">273 p. : </v>
      </c>
      <c r="T193" t="str">
        <f>("ill. ; ")</f>
        <v xml:space="preserve">ill. ; </v>
      </c>
      <c r="U193" t="str">
        <f>("24 cm. ")</f>
        <v xml:space="preserve">24 cm. </v>
      </c>
      <c r="W193" t="str">
        <f t="shared" si="79"/>
        <v>美國國會圖書分類法</v>
      </c>
      <c r="Y193" t="str">
        <f>("HG6041")</f>
        <v>HG6041</v>
      </c>
      <c r="Z193" t="str">
        <f>("2018/08/11 13:32:33")</f>
        <v>2018/08/11 13:32:33</v>
      </c>
      <c r="AA193" t="str">
        <f t="shared" si="65"/>
        <v>catc</v>
      </c>
      <c r="AC193" t="str">
        <f>("S555")</f>
        <v>S555</v>
      </c>
      <c r="AE193" t="str">
        <f t="shared" si="82"/>
        <v>c.1</v>
      </c>
      <c r="AF193" t="str">
        <f t="shared" si="84"/>
        <v>1.可借圖書</v>
      </c>
      <c r="AG193" t="str">
        <f t="shared" si="85"/>
        <v>在架</v>
      </c>
      <c r="AI193" t="s">
        <v>65</v>
      </c>
      <c r="AK193" t="str">
        <f t="shared" si="66"/>
        <v>一般(Normal)</v>
      </c>
      <c r="AO193" t="s">
        <v>65</v>
      </c>
      <c r="AS193" t="str">
        <f>("c2001. ")</f>
        <v xml:space="preserve">c2001. </v>
      </c>
      <c r="AT193" t="str">
        <f t="shared" si="67"/>
        <v>catc</v>
      </c>
    </row>
    <row r="194" spans="1:46" x14ac:dyDescent="0.25">
      <c r="A194">
        <v>183</v>
      </c>
      <c r="B194" t="str">
        <f>("289104")</f>
        <v>289104</v>
      </c>
      <c r="C194" t="str">
        <f>("W00002219")</f>
        <v>W00002219</v>
      </c>
      <c r="D194" t="str">
        <f>("The dream society : how the coming shift from information to imagination will transform your business / ")</f>
        <v xml:space="preserve">The dream society : how the coming shift from information to imagination will transform your business / </v>
      </c>
      <c r="E194" t="str">
        <f>("Jensen, Rolf, 1942- ")</f>
        <v xml:space="preserve">Jensen, Rolf, 1942- </v>
      </c>
      <c r="F194" t="str">
        <f>("McGraw-Hill, ")</f>
        <v xml:space="preserve">McGraw-Hill, </v>
      </c>
      <c r="H194" t="str">
        <f t="shared" si="72"/>
        <v>圖書 book</v>
      </c>
      <c r="I194" t="str">
        <f>("HD30.27 J51 1999")</f>
        <v>HD30.27 J51 1999</v>
      </c>
      <c r="J194" t="str">
        <f>("0070329672")</f>
        <v>0070329672</v>
      </c>
      <c r="K194" t="str">
        <f>("700")</f>
        <v>700</v>
      </c>
      <c r="L194" t="str">
        <f t="shared" si="63"/>
        <v>2001/10/10 00:00:00</v>
      </c>
      <c r="M194" t="str">
        <f t="shared" ref="M194:M205" si="86">("2018/08/11 13:34:03")</f>
        <v>2018/08/11 13:34:03</v>
      </c>
      <c r="N194" t="str">
        <f>("1999")</f>
        <v>1999</v>
      </c>
      <c r="O194" t="str">
        <f t="shared" si="83"/>
        <v>4F西文書庫 4F Western Language Books</v>
      </c>
      <c r="P194" t="s">
        <v>64</v>
      </c>
      <c r="W194" t="str">
        <f t="shared" si="79"/>
        <v>美國國會圖書分類法</v>
      </c>
      <c r="Y194" t="str">
        <f>("HD30.27")</f>
        <v>HD30.27</v>
      </c>
      <c r="Z194" t="str">
        <f t="shared" ref="Z194:Z206" si="87">("2018/08/11 13:34:03")</f>
        <v>2018/08/11 13:34:03</v>
      </c>
      <c r="AA194" t="str">
        <f t="shared" si="65"/>
        <v>catc</v>
      </c>
      <c r="AC194" t="str">
        <f>("J51")</f>
        <v>J51</v>
      </c>
      <c r="AE194" t="str">
        <f t="shared" si="82"/>
        <v>c.1</v>
      </c>
      <c r="AF194" t="str">
        <f t="shared" si="84"/>
        <v>1.可借圖書</v>
      </c>
      <c r="AG194" t="str">
        <f t="shared" si="85"/>
        <v>在架</v>
      </c>
      <c r="AI194" t="s">
        <v>65</v>
      </c>
      <c r="AK194" t="str">
        <f t="shared" si="66"/>
        <v>一般(Normal)</v>
      </c>
      <c r="AO194" t="s">
        <v>65</v>
      </c>
      <c r="AS194" t="str">
        <f>("1999. ")</f>
        <v xml:space="preserve">1999. </v>
      </c>
      <c r="AT194" t="str">
        <f t="shared" si="67"/>
        <v>catc</v>
      </c>
    </row>
    <row r="195" spans="1:46" x14ac:dyDescent="0.25">
      <c r="A195">
        <v>184</v>
      </c>
      <c r="B195" t="str">
        <f>("289105")</f>
        <v>289105</v>
      </c>
      <c r="C195" t="str">
        <f>("W00002220")</f>
        <v>W00002220</v>
      </c>
      <c r="D195" t="str">
        <f>("The ESL miscellany: A treasury of cultural and liguistic information/ ")</f>
        <v xml:space="preserve">The ESL miscellany: A treasury of cultural and liguistic information/ </v>
      </c>
      <c r="E195" t="str">
        <f>("Clark,C.Raymond")</f>
        <v>Clark,C.Raymond</v>
      </c>
      <c r="F195" t="str">
        <f>("PLA, ")</f>
        <v xml:space="preserve">PLA, </v>
      </c>
      <c r="G195" t="str">
        <f>("2nd. ed.")</f>
        <v>2nd. ed.</v>
      </c>
      <c r="H195" t="str">
        <f t="shared" si="72"/>
        <v>圖書 book</v>
      </c>
      <c r="I195" t="str">
        <f>("LC5225 C592 1991")</f>
        <v>LC5225 C592 1991</v>
      </c>
      <c r="J195" t="str">
        <f>("0866470433")</f>
        <v>0866470433</v>
      </c>
      <c r="K195" t="str">
        <f>("784")</f>
        <v>784</v>
      </c>
      <c r="L195" t="str">
        <f t="shared" si="63"/>
        <v>2001/10/10 00:00:00</v>
      </c>
      <c r="M195" t="str">
        <f t="shared" si="86"/>
        <v>2018/08/11 13:34:03</v>
      </c>
      <c r="N195" t="str">
        <f>("1991")</f>
        <v>1991</v>
      </c>
      <c r="O195" t="str">
        <f t="shared" si="83"/>
        <v>4F西文書庫 4F Western Language Books</v>
      </c>
      <c r="P195" t="s">
        <v>64</v>
      </c>
      <c r="W195" t="str">
        <f t="shared" si="79"/>
        <v>美國國會圖書分類法</v>
      </c>
      <c r="Y195" t="str">
        <f>("LC5225")</f>
        <v>LC5225</v>
      </c>
      <c r="Z195" t="str">
        <f t="shared" si="87"/>
        <v>2018/08/11 13:34:03</v>
      </c>
      <c r="AA195" t="str">
        <f t="shared" si="65"/>
        <v>catc</v>
      </c>
      <c r="AC195" t="str">
        <f>("C592")</f>
        <v>C592</v>
      </c>
      <c r="AE195" t="str">
        <f t="shared" si="82"/>
        <v>c.1</v>
      </c>
      <c r="AF195" t="str">
        <f t="shared" si="84"/>
        <v>1.可借圖書</v>
      </c>
      <c r="AG195" t="str">
        <f t="shared" si="85"/>
        <v>在架</v>
      </c>
      <c r="AI195" t="s">
        <v>65</v>
      </c>
      <c r="AK195" t="str">
        <f t="shared" si="66"/>
        <v>一般(Normal)</v>
      </c>
      <c r="AO195" t="s">
        <v>65</v>
      </c>
      <c r="AS195" t="str">
        <f>("c1991.")</f>
        <v>c1991.</v>
      </c>
      <c r="AT195" t="str">
        <f t="shared" si="67"/>
        <v>catc</v>
      </c>
    </row>
    <row r="196" spans="1:46" x14ac:dyDescent="0.25">
      <c r="A196">
        <v>185</v>
      </c>
      <c r="B196" t="str">
        <f>("289106")</f>
        <v>289106</v>
      </c>
      <c r="C196" t="str">
        <f>("W00002221")</f>
        <v>W00002221</v>
      </c>
      <c r="D196" t="str">
        <f>("Basic medical terminology concepts / ")</f>
        <v xml:space="preserve">Basic medical terminology concepts / </v>
      </c>
      <c r="E196" t="str">
        <f>("Wilson, Marilyn White, 1941- ")</f>
        <v xml:space="preserve">Wilson, Marilyn White, 1941- </v>
      </c>
      <c r="F196" t="str">
        <f>("Brady Regents/Prentice Hall, ")</f>
        <v xml:space="preserve">Brady Regents/Prentice Hall, </v>
      </c>
      <c r="G196" t="str">
        <f>("2nd ed. ")</f>
        <v xml:space="preserve">2nd ed. </v>
      </c>
      <c r="H196" t="str">
        <f t="shared" si="72"/>
        <v>圖書 book</v>
      </c>
      <c r="I196" t="str">
        <f>("R123 W747 1995")</f>
        <v>R123 W747 1995</v>
      </c>
      <c r="J196" t="str">
        <f>("0835949567")</f>
        <v>0835949567</v>
      </c>
      <c r="K196" t="str">
        <f>("840")</f>
        <v>840</v>
      </c>
      <c r="L196" t="str">
        <f t="shared" si="63"/>
        <v>2001/10/10 00:00:00</v>
      </c>
      <c r="M196" t="str">
        <f t="shared" si="86"/>
        <v>2018/08/11 13:34:03</v>
      </c>
      <c r="N196" t="str">
        <f>("1995")</f>
        <v>1995</v>
      </c>
      <c r="O196" t="str">
        <f t="shared" si="83"/>
        <v>4F西文書庫 4F Western Language Books</v>
      </c>
      <c r="P196" t="s">
        <v>64</v>
      </c>
      <c r="W196" t="str">
        <f t="shared" si="79"/>
        <v>美國國會圖書分類法</v>
      </c>
      <c r="Y196" t="str">
        <f>("R123")</f>
        <v>R123</v>
      </c>
      <c r="Z196" t="str">
        <f t="shared" si="87"/>
        <v>2018/08/11 13:34:03</v>
      </c>
      <c r="AA196" t="str">
        <f t="shared" si="65"/>
        <v>catc</v>
      </c>
      <c r="AC196" t="str">
        <f>("W747")</f>
        <v>W747</v>
      </c>
      <c r="AE196" t="str">
        <f t="shared" si="82"/>
        <v>c.1</v>
      </c>
      <c r="AF196" t="str">
        <f t="shared" si="84"/>
        <v>1.可借圖書</v>
      </c>
      <c r="AG196" t="str">
        <f t="shared" si="85"/>
        <v>在架</v>
      </c>
      <c r="AI196" t="s">
        <v>65</v>
      </c>
      <c r="AK196" t="str">
        <f t="shared" si="66"/>
        <v>一般(Normal)</v>
      </c>
      <c r="AO196" t="s">
        <v>65</v>
      </c>
      <c r="AS196" t="str">
        <f>("c1995. ")</f>
        <v xml:space="preserve">c1995. </v>
      </c>
      <c r="AT196" t="str">
        <f t="shared" si="67"/>
        <v>catc</v>
      </c>
    </row>
    <row r="197" spans="1:46" x14ac:dyDescent="0.25">
      <c r="A197">
        <v>186</v>
      </c>
      <c r="B197" t="str">
        <f>("289107")</f>
        <v>289107</v>
      </c>
      <c r="C197" t="str">
        <f>("W00002222")</f>
        <v>W00002222</v>
      </c>
      <c r="D197" t="str">
        <f>("The interactive tutorial an activity parade/ ")</f>
        <v xml:space="preserve">The interactive tutorial an activity parade/ </v>
      </c>
      <c r="E197" t="str">
        <f>("Sanders,Karen M.")</f>
        <v>Sanders,Karen M.</v>
      </c>
      <c r="F197" t="str">
        <f>("PLA, ")</f>
        <v xml:space="preserve">PLA, </v>
      </c>
      <c r="H197" t="str">
        <f t="shared" si="72"/>
        <v>圖書 book</v>
      </c>
      <c r="I197" t="str">
        <f>("LB1139 S215 1998")</f>
        <v>LB1139 S215 1998</v>
      </c>
      <c r="J197" t="str">
        <f>("0866471073")</f>
        <v>0866471073</v>
      </c>
      <c r="K197" t="str">
        <f>("768")</f>
        <v>768</v>
      </c>
      <c r="L197" t="str">
        <f t="shared" si="63"/>
        <v>2001/10/10 00:00:00</v>
      </c>
      <c r="M197" t="str">
        <f t="shared" si="86"/>
        <v>2018/08/11 13:34:03</v>
      </c>
      <c r="N197" t="str">
        <f>("1998")</f>
        <v>1998</v>
      </c>
      <c r="O197" t="str">
        <f t="shared" si="83"/>
        <v>4F西文書庫 4F Western Language Books</v>
      </c>
      <c r="P197" t="s">
        <v>64</v>
      </c>
      <c r="W197" t="str">
        <f t="shared" si="79"/>
        <v>美國國會圖書分類法</v>
      </c>
      <c r="Y197" t="str">
        <f>("LB1139")</f>
        <v>LB1139</v>
      </c>
      <c r="Z197" t="str">
        <f t="shared" si="87"/>
        <v>2018/08/11 13:34:03</v>
      </c>
      <c r="AA197" t="str">
        <f t="shared" si="65"/>
        <v>catc</v>
      </c>
      <c r="AC197" t="str">
        <f>("S215")</f>
        <v>S215</v>
      </c>
      <c r="AE197" t="str">
        <f t="shared" si="82"/>
        <v>c.1</v>
      </c>
      <c r="AF197" t="str">
        <f t="shared" si="84"/>
        <v>1.可借圖書</v>
      </c>
      <c r="AG197" t="str">
        <f t="shared" si="85"/>
        <v>在架</v>
      </c>
      <c r="AI197" t="s">
        <v>65</v>
      </c>
      <c r="AK197" t="str">
        <f t="shared" si="66"/>
        <v>一般(Normal)</v>
      </c>
      <c r="AO197" t="s">
        <v>65</v>
      </c>
      <c r="AS197" t="str">
        <f>("1998")</f>
        <v>1998</v>
      </c>
      <c r="AT197" t="str">
        <f t="shared" si="67"/>
        <v>catc</v>
      </c>
    </row>
    <row r="198" spans="1:46" x14ac:dyDescent="0.25">
      <c r="A198">
        <v>187</v>
      </c>
      <c r="B198" t="str">
        <f>("289108")</f>
        <v>289108</v>
      </c>
      <c r="C198" t="str">
        <f>("W00002223")</f>
        <v>W00002223</v>
      </c>
      <c r="D198" t="str">
        <f>("Intermediate language practice/ ")</f>
        <v xml:space="preserve">Intermediate language practice/ </v>
      </c>
      <c r="E198" t="str">
        <f>("Vince,Michael")</f>
        <v>Vince,Michael</v>
      </c>
      <c r="F198" t="str">
        <f>("Macmillan, ")</f>
        <v xml:space="preserve">Macmillan, </v>
      </c>
      <c r="H198" t="str">
        <f t="shared" si="72"/>
        <v>圖書 book</v>
      </c>
      <c r="I198" t="str">
        <f>("LB1139.L3 V768 1998")</f>
        <v>LB1139.L3 V768 1998</v>
      </c>
      <c r="J198" t="str">
        <f>("0435241206")</f>
        <v>0435241206</v>
      </c>
      <c r="K198" t="str">
        <f>("416")</f>
        <v>416</v>
      </c>
      <c r="L198" t="str">
        <f t="shared" si="63"/>
        <v>2001/10/10 00:00:00</v>
      </c>
      <c r="M198" t="str">
        <f t="shared" si="86"/>
        <v>2018/08/11 13:34:03</v>
      </c>
      <c r="N198" t="str">
        <f>("1998")</f>
        <v>1998</v>
      </c>
      <c r="O198" t="str">
        <f t="shared" si="83"/>
        <v>4F西文書庫 4F Western Language Books</v>
      </c>
      <c r="P198" t="s">
        <v>64</v>
      </c>
      <c r="W198" t="str">
        <f t="shared" si="79"/>
        <v>美國國會圖書分類法</v>
      </c>
      <c r="Y198" t="str">
        <f>("LB1139.L3")</f>
        <v>LB1139.L3</v>
      </c>
      <c r="Z198" t="str">
        <f t="shared" si="87"/>
        <v>2018/08/11 13:34:03</v>
      </c>
      <c r="AA198" t="str">
        <f t="shared" si="65"/>
        <v>catc</v>
      </c>
      <c r="AC198" t="str">
        <f>("V768")</f>
        <v>V768</v>
      </c>
      <c r="AE198" t="str">
        <f t="shared" si="82"/>
        <v>c.1</v>
      </c>
      <c r="AF198" t="str">
        <f t="shared" si="84"/>
        <v>1.可借圖書</v>
      </c>
      <c r="AG198" t="str">
        <f t="shared" si="85"/>
        <v>在架</v>
      </c>
      <c r="AI198" t="s">
        <v>65</v>
      </c>
      <c r="AK198" t="str">
        <f t="shared" si="66"/>
        <v>一般(Normal)</v>
      </c>
      <c r="AO198" t="s">
        <v>65</v>
      </c>
      <c r="AS198" t="str">
        <f>("1998")</f>
        <v>1998</v>
      </c>
      <c r="AT198" t="str">
        <f t="shared" si="67"/>
        <v>catc</v>
      </c>
    </row>
    <row r="199" spans="1:46" x14ac:dyDescent="0.25">
      <c r="A199">
        <v>188</v>
      </c>
      <c r="B199" t="str">
        <f>("289100")</f>
        <v>289100</v>
      </c>
      <c r="C199" t="str">
        <f>("W00002224")</f>
        <v>W00002224</v>
      </c>
      <c r="D199" t="str">
        <f>("A history of Christianity")</f>
        <v>A history of Christianity</v>
      </c>
      <c r="E199" t="str">
        <f>("")</f>
        <v/>
      </c>
      <c r="F199" t="str">
        <f>("Marisa Crawford, ")</f>
        <v xml:space="preserve">Marisa Crawford, </v>
      </c>
      <c r="H199" t="str">
        <f t="shared" si="72"/>
        <v>圖書 book</v>
      </c>
      <c r="I199" t="str">
        <f>("BV4596 H673 2000 v.2")</f>
        <v>BV4596 H673 2000 v.2</v>
      </c>
      <c r="J199" t="str">
        <f>("9575867394;9575867408")</f>
        <v>9575867394;9575867408</v>
      </c>
      <c r="K199" t="str">
        <f>("120")</f>
        <v>120</v>
      </c>
      <c r="L199" t="str">
        <f t="shared" si="63"/>
        <v>2001/10/10 00:00:00</v>
      </c>
      <c r="M199" t="str">
        <f t="shared" si="86"/>
        <v>2018/08/11 13:34:03</v>
      </c>
      <c r="N199" t="str">
        <f>("2000")</f>
        <v>2000</v>
      </c>
      <c r="O199" t="str">
        <f t="shared" si="83"/>
        <v>4F西文書庫 4F Western Language Books</v>
      </c>
      <c r="P199" t="s">
        <v>64</v>
      </c>
      <c r="W199" t="str">
        <f t="shared" si="79"/>
        <v>美國國會圖書分類法</v>
      </c>
      <c r="Y199" t="str">
        <f>("BV4596")</f>
        <v>BV4596</v>
      </c>
      <c r="Z199" t="str">
        <f t="shared" si="87"/>
        <v>2018/08/11 13:34:03</v>
      </c>
      <c r="AA199" t="str">
        <f t="shared" si="65"/>
        <v>catc</v>
      </c>
      <c r="AC199" t="str">
        <f>("H673")</f>
        <v>H673</v>
      </c>
      <c r="AD199" t="str">
        <f>("v.2")</f>
        <v>v.2</v>
      </c>
      <c r="AE199" t="str">
        <f t="shared" si="82"/>
        <v>c.1</v>
      </c>
      <c r="AF199" t="str">
        <f t="shared" si="84"/>
        <v>1.可借圖書</v>
      </c>
      <c r="AG199" t="str">
        <f t="shared" si="85"/>
        <v>在架</v>
      </c>
      <c r="AI199" t="s">
        <v>65</v>
      </c>
      <c r="AK199" t="str">
        <f t="shared" si="66"/>
        <v>一般(Normal)</v>
      </c>
      <c r="AO199" t="s">
        <v>65</v>
      </c>
      <c r="AS199" t="str">
        <f>("2000.")</f>
        <v>2000.</v>
      </c>
      <c r="AT199" t="str">
        <f t="shared" si="67"/>
        <v>catc</v>
      </c>
    </row>
    <row r="200" spans="1:46" x14ac:dyDescent="0.25">
      <c r="A200">
        <v>189</v>
      </c>
      <c r="B200" t="str">
        <f>("289100")</f>
        <v>289100</v>
      </c>
      <c r="C200" t="str">
        <f>("W00002225")</f>
        <v>W00002225</v>
      </c>
      <c r="D200" t="str">
        <f>("A history of Christianity")</f>
        <v>A history of Christianity</v>
      </c>
      <c r="E200" t="str">
        <f>("")</f>
        <v/>
      </c>
      <c r="F200" t="str">
        <f>("Marisa Crawford, ")</f>
        <v xml:space="preserve">Marisa Crawford, </v>
      </c>
      <c r="H200" t="str">
        <f t="shared" si="72"/>
        <v>圖書 book</v>
      </c>
      <c r="I200" t="str">
        <f>("BV4596 H673 2000 v.1")</f>
        <v>BV4596 H673 2000 v.1</v>
      </c>
      <c r="J200" t="str">
        <f>("9575867394;9575867408")</f>
        <v>9575867394;9575867408</v>
      </c>
      <c r="K200" t="str">
        <f>("120")</f>
        <v>120</v>
      </c>
      <c r="L200" t="str">
        <f t="shared" si="63"/>
        <v>2001/10/10 00:00:00</v>
      </c>
      <c r="M200" t="str">
        <f t="shared" si="86"/>
        <v>2018/08/11 13:34:03</v>
      </c>
      <c r="N200" t="str">
        <f>("2000")</f>
        <v>2000</v>
      </c>
      <c r="O200" t="str">
        <f t="shared" si="83"/>
        <v>4F西文書庫 4F Western Language Books</v>
      </c>
      <c r="P200" t="s">
        <v>64</v>
      </c>
      <c r="W200" t="str">
        <f t="shared" si="79"/>
        <v>美國國會圖書分類法</v>
      </c>
      <c r="Y200" t="str">
        <f>("BV4596")</f>
        <v>BV4596</v>
      </c>
      <c r="Z200" t="str">
        <f t="shared" si="87"/>
        <v>2018/08/11 13:34:03</v>
      </c>
      <c r="AA200" t="str">
        <f t="shared" si="65"/>
        <v>catc</v>
      </c>
      <c r="AC200" t="str">
        <f>("H673")</f>
        <v>H673</v>
      </c>
      <c r="AD200" t="str">
        <f>("v.1")</f>
        <v>v.1</v>
      </c>
      <c r="AE200" t="str">
        <f t="shared" si="82"/>
        <v>c.1</v>
      </c>
      <c r="AF200" t="str">
        <f t="shared" si="84"/>
        <v>1.可借圖書</v>
      </c>
      <c r="AG200" t="str">
        <f t="shared" si="85"/>
        <v>在架</v>
      </c>
      <c r="AI200" t="s">
        <v>65</v>
      </c>
      <c r="AK200" t="str">
        <f t="shared" si="66"/>
        <v>一般(Normal)</v>
      </c>
      <c r="AO200" t="s">
        <v>65</v>
      </c>
      <c r="AS200" t="str">
        <f>("2000.")</f>
        <v>2000.</v>
      </c>
      <c r="AT200" t="str">
        <f t="shared" si="67"/>
        <v>catc</v>
      </c>
    </row>
    <row r="201" spans="1:46" x14ac:dyDescent="0.25">
      <c r="A201">
        <v>190</v>
      </c>
      <c r="B201" t="str">
        <f>("289121")</f>
        <v>289121</v>
      </c>
      <c r="C201" t="str">
        <f>("W00002226")</f>
        <v>W00002226</v>
      </c>
      <c r="D201" t="str">
        <f>("English for international tourism/ ")</f>
        <v xml:space="preserve">English for international tourism/ </v>
      </c>
      <c r="E201" t="str">
        <f>("Jacob,Miriam")</f>
        <v>Jacob,Miriam</v>
      </c>
      <c r="F201" t="str">
        <f>("Longman, ")</f>
        <v xml:space="preserve">Longman, </v>
      </c>
      <c r="H201" t="str">
        <f t="shared" si="72"/>
        <v>圖書 book</v>
      </c>
      <c r="I201" t="str">
        <f>("G155.A1 J16 2000")</f>
        <v>G155.A1 J16 2000</v>
      </c>
      <c r="J201" t="str">
        <f>("058223753x;0582237548")</f>
        <v>058223753x;0582237548</v>
      </c>
      <c r="K201" t="str">
        <f>("576")</f>
        <v>576</v>
      </c>
      <c r="L201" t="str">
        <f t="shared" si="63"/>
        <v>2001/10/10 00:00:00</v>
      </c>
      <c r="M201" t="str">
        <f t="shared" si="86"/>
        <v>2018/08/11 13:34:03</v>
      </c>
      <c r="N201" t="str">
        <f>("2000")</f>
        <v>2000</v>
      </c>
      <c r="O201" t="str">
        <f t="shared" si="83"/>
        <v>4F西文書庫 4F Western Language Books</v>
      </c>
      <c r="P201" t="s">
        <v>64</v>
      </c>
      <c r="W201" t="str">
        <f t="shared" si="79"/>
        <v>美國國會圖書分類法</v>
      </c>
      <c r="Y201" t="str">
        <f>("G155.A1")</f>
        <v>G155.A1</v>
      </c>
      <c r="Z201" t="str">
        <f t="shared" si="87"/>
        <v>2018/08/11 13:34:03</v>
      </c>
      <c r="AA201" t="str">
        <f t="shared" si="65"/>
        <v>catc</v>
      </c>
      <c r="AC201" t="str">
        <f>("J16")</f>
        <v>J16</v>
      </c>
      <c r="AE201" t="str">
        <f t="shared" si="82"/>
        <v>c.1</v>
      </c>
      <c r="AF201" t="str">
        <f t="shared" si="84"/>
        <v>1.可借圖書</v>
      </c>
      <c r="AG201" t="str">
        <f t="shared" si="85"/>
        <v>在架</v>
      </c>
      <c r="AI201" t="s">
        <v>65</v>
      </c>
      <c r="AK201" t="str">
        <f t="shared" si="66"/>
        <v>一般(Normal)</v>
      </c>
      <c r="AO201" t="s">
        <v>65</v>
      </c>
      <c r="AS201" t="str">
        <f>("2000.")</f>
        <v>2000.</v>
      </c>
      <c r="AT201" t="str">
        <f t="shared" si="67"/>
        <v>catc</v>
      </c>
    </row>
    <row r="202" spans="1:46" x14ac:dyDescent="0.25">
      <c r="A202">
        <v>191</v>
      </c>
      <c r="B202" t="str">
        <f>("289122")</f>
        <v>289122</v>
      </c>
      <c r="C202" t="str">
        <f>("W00002227")</f>
        <v>W00002227</v>
      </c>
      <c r="D202" t="str">
        <f>("Company to company: a communicative approach to business correspondence in english/ ")</f>
        <v xml:space="preserve">Company to company: a communicative approach to business correspondence in english/ </v>
      </c>
      <c r="E202" t="str">
        <f>("Littlejohn,Andrew")</f>
        <v>Littlejohn,Andrew</v>
      </c>
      <c r="F202" t="str">
        <f>("Cambridge University press, ")</f>
        <v xml:space="preserve">Cambridge University press, </v>
      </c>
      <c r="G202" t="str">
        <f>("3rd. ed.")</f>
        <v>3rd. ed.</v>
      </c>
      <c r="H202" t="str">
        <f t="shared" si="72"/>
        <v>圖書 book</v>
      </c>
      <c r="I202" t="str">
        <f>("LB1775 L779-2 2000")</f>
        <v>LB1775 L779-2 2000</v>
      </c>
      <c r="J202" t="str">
        <f>("0521654122")</f>
        <v>0521654122</v>
      </c>
      <c r="K202" t="str">
        <f>("560")</f>
        <v>560</v>
      </c>
      <c r="L202" t="str">
        <f t="shared" si="63"/>
        <v>2001/10/10 00:00:00</v>
      </c>
      <c r="M202" t="str">
        <f t="shared" si="86"/>
        <v>2018/08/11 13:34:03</v>
      </c>
      <c r="N202" t="str">
        <f>("2000")</f>
        <v>2000</v>
      </c>
      <c r="O202" t="str">
        <f t="shared" si="83"/>
        <v>4F西文書庫 4F Western Language Books</v>
      </c>
      <c r="P202" t="s">
        <v>64</v>
      </c>
      <c r="W202" t="str">
        <f t="shared" si="79"/>
        <v>美國國會圖書分類法</v>
      </c>
      <c r="Y202" t="str">
        <f>("LB1775")</f>
        <v>LB1775</v>
      </c>
      <c r="Z202" t="str">
        <f t="shared" si="87"/>
        <v>2018/08/11 13:34:03</v>
      </c>
      <c r="AA202" t="str">
        <f t="shared" si="65"/>
        <v>catc</v>
      </c>
      <c r="AC202" t="str">
        <f>("L779-2")</f>
        <v>L779-2</v>
      </c>
      <c r="AE202" t="str">
        <f t="shared" si="82"/>
        <v>c.1</v>
      </c>
      <c r="AF202" t="str">
        <f t="shared" si="84"/>
        <v>1.可借圖書</v>
      </c>
      <c r="AG202" t="str">
        <f t="shared" si="85"/>
        <v>在架</v>
      </c>
      <c r="AI202" t="s">
        <v>65</v>
      </c>
      <c r="AK202" t="str">
        <f t="shared" si="66"/>
        <v>一般(Normal)</v>
      </c>
      <c r="AO202" t="s">
        <v>65</v>
      </c>
      <c r="AS202" t="str">
        <f>("2000.")</f>
        <v>2000.</v>
      </c>
      <c r="AT202" t="str">
        <f t="shared" si="67"/>
        <v>catc</v>
      </c>
    </row>
    <row r="203" spans="1:46" x14ac:dyDescent="0.25">
      <c r="A203">
        <v>192</v>
      </c>
      <c r="B203" t="str">
        <f>("289121")</f>
        <v>289121</v>
      </c>
      <c r="C203" t="str">
        <f>("W00002228")</f>
        <v>W00002228</v>
      </c>
      <c r="D203" t="str">
        <f>("English for international tourism/ ")</f>
        <v xml:space="preserve">English for international tourism/ </v>
      </c>
      <c r="E203" t="str">
        <f>("Jacob,Miriam")</f>
        <v>Jacob,Miriam</v>
      </c>
      <c r="F203" t="str">
        <f>("Longman, ")</f>
        <v xml:space="preserve">Longman, </v>
      </c>
      <c r="H203" t="str">
        <f t="shared" si="72"/>
        <v>圖書 book</v>
      </c>
      <c r="I203" t="str">
        <f>("G155.A1 J16 2000")</f>
        <v>G155.A1 J16 2000</v>
      </c>
      <c r="J203" t="str">
        <f>("058223753x;0582237548")</f>
        <v>058223753x;0582237548</v>
      </c>
      <c r="K203" t="str">
        <f>("416")</f>
        <v>416</v>
      </c>
      <c r="L203" t="str">
        <f t="shared" si="63"/>
        <v>2001/10/10 00:00:00</v>
      </c>
      <c r="M203" t="str">
        <f t="shared" si="86"/>
        <v>2018/08/11 13:34:03</v>
      </c>
      <c r="N203" t="str">
        <f>("2000")</f>
        <v>2000</v>
      </c>
      <c r="O203" t="str">
        <f t="shared" si="83"/>
        <v>4F西文書庫 4F Western Language Books</v>
      </c>
      <c r="P203" t="s">
        <v>64</v>
      </c>
      <c r="W203" t="str">
        <f t="shared" si="79"/>
        <v>美國國會圖書分類法</v>
      </c>
      <c r="Y203" t="str">
        <f>("G155.A1")</f>
        <v>G155.A1</v>
      </c>
      <c r="Z203" t="str">
        <f t="shared" si="87"/>
        <v>2018/08/11 13:34:03</v>
      </c>
      <c r="AA203" t="str">
        <f t="shared" si="65"/>
        <v>catc</v>
      </c>
      <c r="AC203" t="str">
        <f>("J16")</f>
        <v>J16</v>
      </c>
      <c r="AE203" t="str">
        <f t="shared" si="82"/>
        <v>c.1</v>
      </c>
      <c r="AF203" t="str">
        <f t="shared" si="84"/>
        <v>1.可借圖書</v>
      </c>
      <c r="AG203" t="str">
        <f t="shared" si="85"/>
        <v>在架</v>
      </c>
      <c r="AI203" t="s">
        <v>65</v>
      </c>
      <c r="AK203" t="str">
        <f t="shared" si="66"/>
        <v>一般(Normal)</v>
      </c>
      <c r="AO203" t="s">
        <v>65</v>
      </c>
      <c r="AS203" t="str">
        <f>("2000.")</f>
        <v>2000.</v>
      </c>
      <c r="AT203" t="str">
        <f t="shared" si="67"/>
        <v>catc</v>
      </c>
    </row>
    <row r="204" spans="1:46" x14ac:dyDescent="0.25">
      <c r="A204">
        <v>193</v>
      </c>
      <c r="B204" t="str">
        <f>("289123")</f>
        <v>289123</v>
      </c>
      <c r="C204" t="str">
        <f>("W00002229")</f>
        <v>W00002229</v>
      </c>
      <c r="D204" t="str">
        <f>("East Asian economies :the miracle, a crisis and the future /")</f>
        <v>East Asian economies :the miracle, a crisis and the future /</v>
      </c>
      <c r="E204" t="str">
        <f>("Bhanoji Rao, V. V. ")</f>
        <v xml:space="preserve">Bhanoji Rao, V. V. </v>
      </c>
      <c r="F204" t="str">
        <f>("McGraw-Hill,")</f>
        <v>McGraw-Hill,</v>
      </c>
      <c r="H204" t="str">
        <f t="shared" si="72"/>
        <v>圖書 book</v>
      </c>
      <c r="I204" t="str">
        <f>("HC460.5 B575 2001")</f>
        <v>HC460.5 B575 2001</v>
      </c>
      <c r="J204" t="str">
        <f>("007116779X")</f>
        <v>007116779X</v>
      </c>
      <c r="K204" t="str">
        <f>("548")</f>
        <v>548</v>
      </c>
      <c r="L204" t="str">
        <f t="shared" ref="L204:L267" si="88">("2001/10/10 00:00:00")</f>
        <v>2001/10/10 00:00:00</v>
      </c>
      <c r="M204" t="str">
        <f t="shared" si="86"/>
        <v>2018/08/11 13:34:03</v>
      </c>
      <c r="N204" t="str">
        <f>("2001")</f>
        <v>2001</v>
      </c>
      <c r="O204" t="str">
        <f t="shared" si="83"/>
        <v>4F西文書庫 4F Western Language Books</v>
      </c>
      <c r="P204" t="s">
        <v>64</v>
      </c>
      <c r="W204" t="str">
        <f t="shared" si="79"/>
        <v>美國國會圖書分類法</v>
      </c>
      <c r="Y204" t="str">
        <f>("HC460.5")</f>
        <v>HC460.5</v>
      </c>
      <c r="Z204" t="str">
        <f t="shared" si="87"/>
        <v>2018/08/11 13:34:03</v>
      </c>
      <c r="AA204" t="str">
        <f t="shared" ref="AA204:AA267" si="89">("catc")</f>
        <v>catc</v>
      </c>
      <c r="AC204" t="str">
        <f>("B575")</f>
        <v>B575</v>
      </c>
      <c r="AE204" t="str">
        <f t="shared" si="82"/>
        <v>c.1</v>
      </c>
      <c r="AF204" t="str">
        <f t="shared" si="84"/>
        <v>1.可借圖書</v>
      </c>
      <c r="AG204" t="str">
        <f t="shared" si="85"/>
        <v>在架</v>
      </c>
      <c r="AI204" t="s">
        <v>65</v>
      </c>
      <c r="AK204" t="str">
        <f t="shared" ref="AK204:AK267" si="90">("一般(Normal)")</f>
        <v>一般(Normal)</v>
      </c>
      <c r="AO204" t="s">
        <v>65</v>
      </c>
      <c r="AS204" t="str">
        <f>("c2001. ")</f>
        <v xml:space="preserve">c2001. </v>
      </c>
      <c r="AT204" t="str">
        <f t="shared" ref="AT204:AT267" si="91">("catc")</f>
        <v>catc</v>
      </c>
    </row>
    <row r="205" spans="1:46" x14ac:dyDescent="0.25">
      <c r="A205">
        <v>194</v>
      </c>
      <c r="B205" t="str">
        <f>("289124")</f>
        <v>289124</v>
      </c>
      <c r="C205" t="str">
        <f>("W00002230")</f>
        <v>W00002230</v>
      </c>
      <c r="D205" t="str">
        <f>("Teaching in America :the slow revolution /")</f>
        <v>Teaching in America :the slow revolution /</v>
      </c>
      <c r="E205" t="str">
        <f>("Grant, Gerald.")</f>
        <v>Grant, Gerald.</v>
      </c>
      <c r="F205" t="str">
        <f>("Harvard University Press,")</f>
        <v>Harvard University Press,</v>
      </c>
      <c r="H205" t="str">
        <f t="shared" si="72"/>
        <v>圖書 book</v>
      </c>
      <c r="I205" t="str">
        <f>("LB1775.2 G761 1999")</f>
        <v>LB1775.2 G761 1999</v>
      </c>
      <c r="J205" t="str">
        <f>("0674869613")</f>
        <v>0674869613</v>
      </c>
      <c r="K205" t="str">
        <f>("728")</f>
        <v>728</v>
      </c>
      <c r="L205" t="str">
        <f t="shared" si="88"/>
        <v>2001/10/10 00:00:00</v>
      </c>
      <c r="M205" t="str">
        <f t="shared" si="86"/>
        <v>2018/08/11 13:34:03</v>
      </c>
      <c r="N205" t="str">
        <f>("1999")</f>
        <v>1999</v>
      </c>
      <c r="O205" t="str">
        <f t="shared" si="83"/>
        <v>4F西文書庫 4F Western Language Books</v>
      </c>
      <c r="P205" t="s">
        <v>64</v>
      </c>
      <c r="W205" t="str">
        <f t="shared" si="79"/>
        <v>美國國會圖書分類法</v>
      </c>
      <c r="Y205" t="str">
        <f>("LB1775.2")</f>
        <v>LB1775.2</v>
      </c>
      <c r="Z205" t="str">
        <f t="shared" si="87"/>
        <v>2018/08/11 13:34:03</v>
      </c>
      <c r="AA205" t="str">
        <f t="shared" si="89"/>
        <v>catc</v>
      </c>
      <c r="AC205" t="str">
        <f>("G761")</f>
        <v>G761</v>
      </c>
      <c r="AE205" t="str">
        <f t="shared" si="82"/>
        <v>c.1</v>
      </c>
      <c r="AF205" t="str">
        <f t="shared" si="84"/>
        <v>1.可借圖書</v>
      </c>
      <c r="AG205" t="str">
        <f t="shared" si="85"/>
        <v>在架</v>
      </c>
      <c r="AI205" t="s">
        <v>65</v>
      </c>
      <c r="AK205" t="str">
        <f t="shared" si="90"/>
        <v>一般(Normal)</v>
      </c>
      <c r="AO205" t="s">
        <v>65</v>
      </c>
      <c r="AS205" t="str">
        <f>("1999.")</f>
        <v>1999.</v>
      </c>
      <c r="AT205" t="str">
        <f t="shared" si="91"/>
        <v>catc</v>
      </c>
    </row>
    <row r="206" spans="1:46" x14ac:dyDescent="0.25">
      <c r="A206">
        <v>195</v>
      </c>
      <c r="B206" t="str">
        <f>("289125")</f>
        <v>289125</v>
      </c>
      <c r="C206" t="str">
        <f>("W00002231")</f>
        <v>W00002231</v>
      </c>
      <c r="D206" t="str">
        <f>("Marketing in Manageable Bites for busy managers and overworked students: /")</f>
        <v>Marketing in Manageable Bites for busy managers and overworked students: /</v>
      </c>
      <c r="E206" t="str">
        <f>("Meldrum,Mike")</f>
        <v>Meldrum,Mike</v>
      </c>
      <c r="F206" t="str">
        <f>("Macmillan Business,")</f>
        <v>Macmillan Business,</v>
      </c>
      <c r="G206" t="str">
        <f>("2nd. ed.")</f>
        <v>2nd. ed.</v>
      </c>
      <c r="H206" t="str">
        <f t="shared" si="72"/>
        <v>圖書 book</v>
      </c>
      <c r="I206" t="str">
        <f>("HF5415.13 M517 2000")</f>
        <v>HF5415.13 M517 2000</v>
      </c>
      <c r="J206" t="str">
        <f>("0333764439")</f>
        <v>0333764439</v>
      </c>
      <c r="K206" t="str">
        <f>("792")</f>
        <v>792</v>
      </c>
      <c r="L206" t="str">
        <f t="shared" si="88"/>
        <v>2001/10/10 00:00:00</v>
      </c>
      <c r="M206" t="str">
        <f t="shared" ref="M206:M215" si="92">("2018/08/11 13:34:04")</f>
        <v>2018/08/11 13:34:04</v>
      </c>
      <c r="N206" t="str">
        <f>("2000")</f>
        <v>2000</v>
      </c>
      <c r="O206" t="str">
        <f t="shared" si="83"/>
        <v>4F西文書庫 4F Western Language Books</v>
      </c>
      <c r="P206" t="s">
        <v>64</v>
      </c>
      <c r="W206" t="str">
        <f t="shared" si="79"/>
        <v>美國國會圖書分類法</v>
      </c>
      <c r="Y206" t="str">
        <f>("HF5415.13")</f>
        <v>HF5415.13</v>
      </c>
      <c r="Z206" t="str">
        <f t="shared" si="87"/>
        <v>2018/08/11 13:34:03</v>
      </c>
      <c r="AA206" t="str">
        <f t="shared" si="89"/>
        <v>catc</v>
      </c>
      <c r="AC206" t="str">
        <f>("M517")</f>
        <v>M517</v>
      </c>
      <c r="AE206" t="str">
        <f t="shared" si="82"/>
        <v>c.1</v>
      </c>
      <c r="AF206" t="str">
        <f t="shared" si="84"/>
        <v>1.可借圖書</v>
      </c>
      <c r="AG206" t="str">
        <f t="shared" si="85"/>
        <v>在架</v>
      </c>
      <c r="AI206" t="s">
        <v>65</v>
      </c>
      <c r="AK206" t="str">
        <f t="shared" si="90"/>
        <v>一般(Normal)</v>
      </c>
      <c r="AO206" t="s">
        <v>65</v>
      </c>
      <c r="AS206" t="str">
        <f>("2000.")</f>
        <v>2000.</v>
      </c>
      <c r="AT206" t="str">
        <f t="shared" si="91"/>
        <v>catc</v>
      </c>
    </row>
    <row r="207" spans="1:46" x14ac:dyDescent="0.25">
      <c r="A207">
        <v>196</v>
      </c>
      <c r="B207" t="str">
        <f>("289126")</f>
        <v>289126</v>
      </c>
      <c r="C207" t="str">
        <f>("W00002232")</f>
        <v>W00002232</v>
      </c>
      <c r="D207" t="str">
        <f>("Social constructionist psychology :a critical analysis of theory and practice / ")</f>
        <v xml:space="preserve">Social constructionist psychology :a critical analysis of theory and practice / </v>
      </c>
      <c r="E207" t="str">
        <f>("Nightingale, David J.,1963- ;Cromby, John,1961- ")</f>
        <v xml:space="preserve">Nightingale, David J.,1963- ;Cromby, John,1961- </v>
      </c>
      <c r="F207" t="str">
        <f>("Open University Press,")</f>
        <v>Open University Press,</v>
      </c>
      <c r="H207" t="str">
        <f t="shared" si="72"/>
        <v>圖書 book</v>
      </c>
      <c r="I207" t="str">
        <f>("HM1033 S678 1999")</f>
        <v>HM1033 S678 1999</v>
      </c>
      <c r="J207" t="str">
        <f>("0335201938;033520192X")</f>
        <v>0335201938;033520192X</v>
      </c>
      <c r="K207" t="str">
        <f>("704")</f>
        <v>704</v>
      </c>
      <c r="L207" t="str">
        <f t="shared" si="88"/>
        <v>2001/10/10 00:00:00</v>
      </c>
      <c r="M207" t="str">
        <f t="shared" si="92"/>
        <v>2018/08/11 13:34:04</v>
      </c>
      <c r="N207" t="str">
        <f>("1999")</f>
        <v>1999</v>
      </c>
      <c r="O207" t="str">
        <f t="shared" si="83"/>
        <v>4F西文書庫 4F Western Language Books</v>
      </c>
      <c r="P207" t="s">
        <v>64</v>
      </c>
      <c r="W207" t="str">
        <f t="shared" ref="W207:W238" si="93">("美國國會圖書分類法")</f>
        <v>美國國會圖書分類法</v>
      </c>
      <c r="Y207" t="str">
        <f>("HM1033")</f>
        <v>HM1033</v>
      </c>
      <c r="Z207" t="str">
        <f t="shared" ref="Z207:Z216" si="94">("2018/08/11 13:34:04")</f>
        <v>2018/08/11 13:34:04</v>
      </c>
      <c r="AA207" t="str">
        <f t="shared" si="89"/>
        <v>catc</v>
      </c>
      <c r="AC207" t="str">
        <f>("S678")</f>
        <v>S678</v>
      </c>
      <c r="AE207" t="str">
        <f t="shared" si="82"/>
        <v>c.1</v>
      </c>
      <c r="AF207" t="str">
        <f t="shared" si="84"/>
        <v>1.可借圖書</v>
      </c>
      <c r="AG207" t="str">
        <f t="shared" si="85"/>
        <v>在架</v>
      </c>
      <c r="AI207" t="s">
        <v>65</v>
      </c>
      <c r="AK207" t="str">
        <f t="shared" si="90"/>
        <v>一般(Normal)</v>
      </c>
      <c r="AO207" t="s">
        <v>65</v>
      </c>
      <c r="AS207" t="str">
        <f>("1999. ")</f>
        <v xml:space="preserve">1999. </v>
      </c>
      <c r="AT207" t="str">
        <f t="shared" si="91"/>
        <v>catc</v>
      </c>
    </row>
    <row r="208" spans="1:46" x14ac:dyDescent="0.25">
      <c r="A208">
        <v>197</v>
      </c>
      <c r="B208" t="str">
        <f>("289109")</f>
        <v>289109</v>
      </c>
      <c r="C208" t="str">
        <f>("W00002233")</f>
        <v>W00002233</v>
      </c>
      <c r="D208" t="str">
        <f>("The intelligent asset allocator :how to build your portfolio to maximize returns and minimize risk /")</f>
        <v>The intelligent asset allocator :how to build your portfolio to maximize returns and minimize risk /</v>
      </c>
      <c r="E208" t="str">
        <f>("Bernstein, William J. ")</f>
        <v xml:space="preserve">Bernstein, William J. </v>
      </c>
      <c r="F208" t="str">
        <f>("McGraw Hill,")</f>
        <v>McGraw Hill,</v>
      </c>
      <c r="H208" t="str">
        <f t="shared" si="72"/>
        <v>圖書 book</v>
      </c>
      <c r="I208" t="str">
        <f>("HG4529.5 B5314 2001")</f>
        <v>HG4529.5 B5314 2001</v>
      </c>
      <c r="J208" t="str">
        <f>("0071362363")</f>
        <v>0071362363</v>
      </c>
      <c r="K208" t="str">
        <f>("884")</f>
        <v>884</v>
      </c>
      <c r="L208" t="str">
        <f t="shared" si="88"/>
        <v>2001/10/10 00:00:00</v>
      </c>
      <c r="M208" t="str">
        <f t="shared" si="92"/>
        <v>2018/08/11 13:34:04</v>
      </c>
      <c r="N208" t="str">
        <f>("2001")</f>
        <v>2001</v>
      </c>
      <c r="O208" t="str">
        <f t="shared" si="83"/>
        <v>4F西文書庫 4F Western Language Books</v>
      </c>
      <c r="P208" t="s">
        <v>64</v>
      </c>
      <c r="W208" t="str">
        <f t="shared" si="93"/>
        <v>美國國會圖書分類法</v>
      </c>
      <c r="Y208" t="str">
        <f>("HG4529.5")</f>
        <v>HG4529.5</v>
      </c>
      <c r="Z208" t="str">
        <f t="shared" si="94"/>
        <v>2018/08/11 13:34:04</v>
      </c>
      <c r="AA208" t="str">
        <f t="shared" si="89"/>
        <v>catc</v>
      </c>
      <c r="AC208" t="str">
        <f>("B5314")</f>
        <v>B5314</v>
      </c>
      <c r="AE208" t="str">
        <f t="shared" si="82"/>
        <v>c.1</v>
      </c>
      <c r="AF208" t="str">
        <f t="shared" si="84"/>
        <v>1.可借圖書</v>
      </c>
      <c r="AG208" t="str">
        <f t="shared" si="85"/>
        <v>在架</v>
      </c>
      <c r="AI208" t="s">
        <v>65</v>
      </c>
      <c r="AK208" t="str">
        <f t="shared" si="90"/>
        <v>一般(Normal)</v>
      </c>
      <c r="AO208" t="s">
        <v>65</v>
      </c>
      <c r="AS208" t="str">
        <f>("c2001. ")</f>
        <v xml:space="preserve">c2001. </v>
      </c>
      <c r="AT208" t="str">
        <f t="shared" si="91"/>
        <v>catc</v>
      </c>
    </row>
    <row r="209" spans="1:46" x14ac:dyDescent="0.25">
      <c r="A209">
        <v>198</v>
      </c>
      <c r="B209" t="str">
        <f>("289127")</f>
        <v>289127</v>
      </c>
      <c r="C209" t="str">
        <f>("W00002234")</f>
        <v>W00002234</v>
      </c>
      <c r="D209" t="str">
        <f>("Building a profitable online accounting practice /")</f>
        <v>Building a profitable online accounting practice /</v>
      </c>
      <c r="E209" t="str">
        <f>("Fox, Jack ")</f>
        <v xml:space="preserve">Fox, Jack </v>
      </c>
      <c r="F209" t="str">
        <f>("Wiley,")</f>
        <v>Wiley,</v>
      </c>
      <c r="H209" t="str">
        <f t="shared" si="72"/>
        <v>圖書 book</v>
      </c>
      <c r="I209" t="str">
        <f>("HF5625.7 F791 2001")</f>
        <v>HF5625.7 F791 2001</v>
      </c>
      <c r="J209" t="str">
        <f>("0471403083")</f>
        <v>0471403083</v>
      </c>
      <c r="K209" t="str">
        <f>("908")</f>
        <v>908</v>
      </c>
      <c r="L209" t="str">
        <f t="shared" si="88"/>
        <v>2001/10/10 00:00:00</v>
      </c>
      <c r="M209" t="str">
        <f t="shared" si="92"/>
        <v>2018/08/11 13:34:04</v>
      </c>
      <c r="N209" t="str">
        <f>("2001")</f>
        <v>2001</v>
      </c>
      <c r="O209" t="str">
        <f t="shared" si="83"/>
        <v>4F西文書庫 4F Western Language Books</v>
      </c>
      <c r="P209" t="s">
        <v>64</v>
      </c>
      <c r="W209" t="str">
        <f t="shared" si="93"/>
        <v>美國國會圖書分類法</v>
      </c>
      <c r="Y209" t="str">
        <f>("HF5625.7")</f>
        <v>HF5625.7</v>
      </c>
      <c r="Z209" t="str">
        <f t="shared" si="94"/>
        <v>2018/08/11 13:34:04</v>
      </c>
      <c r="AA209" t="str">
        <f t="shared" si="89"/>
        <v>catc</v>
      </c>
      <c r="AC209" t="str">
        <f>("F791")</f>
        <v>F791</v>
      </c>
      <c r="AE209" t="str">
        <f t="shared" si="82"/>
        <v>c.1</v>
      </c>
      <c r="AF209" t="str">
        <f t="shared" si="84"/>
        <v>1.可借圖書</v>
      </c>
      <c r="AG209" t="str">
        <f t="shared" si="85"/>
        <v>在架</v>
      </c>
      <c r="AI209" t="s">
        <v>65</v>
      </c>
      <c r="AK209" t="str">
        <f t="shared" si="90"/>
        <v>一般(Normal)</v>
      </c>
      <c r="AO209" t="s">
        <v>65</v>
      </c>
      <c r="AS209" t="str">
        <f>("c2001 ")</f>
        <v xml:space="preserve">c2001 </v>
      </c>
      <c r="AT209" t="str">
        <f t="shared" si="91"/>
        <v>catc</v>
      </c>
    </row>
    <row r="210" spans="1:46" x14ac:dyDescent="0.25">
      <c r="A210">
        <v>199</v>
      </c>
      <c r="B210" t="str">
        <f>("289128")</f>
        <v>289128</v>
      </c>
      <c r="C210" t="str">
        <f>("W00002235")</f>
        <v>W00002235</v>
      </c>
      <c r="D210" t="str">
        <f>("Marketing insights for the Asia Pacific /")</f>
        <v>Marketing insights for the Asia Pacific /</v>
      </c>
      <c r="E210" t="str">
        <f>("Leong, Siew Meng. ")</f>
        <v xml:space="preserve">Leong, Siew Meng. </v>
      </c>
      <c r="F210" t="str">
        <f>("Heinemann ;;Asia Pacific Marketing Federation,")</f>
        <v>Heinemann ;;Asia Pacific Marketing Federation,</v>
      </c>
      <c r="H210" t="str">
        <f t="shared" si="72"/>
        <v>圖書 book</v>
      </c>
      <c r="I210" t="str">
        <f>("HF5415.12.A8 L579 1996")</f>
        <v>HF5415.12.A8 L579 1996</v>
      </c>
      <c r="J210" t="str">
        <f>("9971645327")</f>
        <v>9971645327</v>
      </c>
      <c r="K210" t="str">
        <f>("500")</f>
        <v>500</v>
      </c>
      <c r="L210" t="str">
        <f t="shared" si="88"/>
        <v>2001/10/10 00:00:00</v>
      </c>
      <c r="M210" t="str">
        <f t="shared" si="92"/>
        <v>2018/08/11 13:34:04</v>
      </c>
      <c r="N210" t="str">
        <f>("1996")</f>
        <v>1996</v>
      </c>
      <c r="O210" t="str">
        <f t="shared" si="83"/>
        <v>4F西文書庫 4F Western Language Books</v>
      </c>
      <c r="P210" t="s">
        <v>64</v>
      </c>
      <c r="W210" t="str">
        <f t="shared" si="93"/>
        <v>美國國會圖書分類法</v>
      </c>
      <c r="Y210" t="str">
        <f>("HF5415.12.A8")</f>
        <v>HF5415.12.A8</v>
      </c>
      <c r="Z210" t="str">
        <f t="shared" si="94"/>
        <v>2018/08/11 13:34:04</v>
      </c>
      <c r="AA210" t="str">
        <f t="shared" si="89"/>
        <v>catc</v>
      </c>
      <c r="AC210" t="str">
        <f>("L579")</f>
        <v>L579</v>
      </c>
      <c r="AE210" t="str">
        <f t="shared" si="82"/>
        <v>c.1</v>
      </c>
      <c r="AF210" t="str">
        <f t="shared" si="84"/>
        <v>1.可借圖書</v>
      </c>
      <c r="AG210" t="str">
        <f t="shared" si="85"/>
        <v>在架</v>
      </c>
      <c r="AI210" t="s">
        <v>65</v>
      </c>
      <c r="AK210" t="str">
        <f t="shared" si="90"/>
        <v>一般(Normal)</v>
      </c>
      <c r="AO210" t="s">
        <v>65</v>
      </c>
      <c r="AS210" t="str">
        <f>("1996. ")</f>
        <v xml:space="preserve">1996. </v>
      </c>
      <c r="AT210" t="str">
        <f t="shared" si="91"/>
        <v>catc</v>
      </c>
    </row>
    <row r="211" spans="1:46" x14ac:dyDescent="0.25">
      <c r="A211">
        <v>200</v>
      </c>
      <c r="B211" t="str">
        <f>("289129")</f>
        <v>289129</v>
      </c>
      <c r="C211" t="str">
        <f>("W00002236")</f>
        <v>W00002236</v>
      </c>
      <c r="D211" t="str">
        <f>("A woman's guide to savvy investing :everything you need to know to protect your future /")</f>
        <v>A woman's guide to savvy investing :everything you need to know to protect your future /</v>
      </c>
      <c r="E211" t="str">
        <f>("Bertrand, Marsha. ")</f>
        <v xml:space="preserve">Bertrand, Marsha. </v>
      </c>
      <c r="F211" t="str">
        <f>("AMACOM,")</f>
        <v>AMACOM,</v>
      </c>
      <c r="H211" t="str">
        <f t="shared" si="72"/>
        <v>圖書 book</v>
      </c>
      <c r="I211" t="str">
        <f>("HG4521 B548 1998")</f>
        <v>HG4521 B548 1998</v>
      </c>
      <c r="J211" t="str">
        <f>("0814403816")</f>
        <v>0814403816</v>
      </c>
      <c r="K211" t="str">
        <f>("476")</f>
        <v>476</v>
      </c>
      <c r="L211" t="str">
        <f t="shared" si="88"/>
        <v>2001/10/10 00:00:00</v>
      </c>
      <c r="M211" t="str">
        <f t="shared" si="92"/>
        <v>2018/08/11 13:34:04</v>
      </c>
      <c r="N211" t="str">
        <f>("1998")</f>
        <v>1998</v>
      </c>
      <c r="O211" t="str">
        <f t="shared" si="83"/>
        <v>4F西文書庫 4F Western Language Books</v>
      </c>
      <c r="P211" t="s">
        <v>64</v>
      </c>
      <c r="W211" t="str">
        <f t="shared" si="93"/>
        <v>美國國會圖書分類法</v>
      </c>
      <c r="Y211" t="str">
        <f>("HG4521")</f>
        <v>HG4521</v>
      </c>
      <c r="Z211" t="str">
        <f t="shared" si="94"/>
        <v>2018/08/11 13:34:04</v>
      </c>
      <c r="AA211" t="str">
        <f t="shared" si="89"/>
        <v>catc</v>
      </c>
      <c r="AC211" t="str">
        <f>("B548")</f>
        <v>B548</v>
      </c>
      <c r="AE211" t="str">
        <f t="shared" si="82"/>
        <v>c.1</v>
      </c>
      <c r="AF211" t="str">
        <f t="shared" si="84"/>
        <v>1.可借圖書</v>
      </c>
      <c r="AG211" t="str">
        <f t="shared" si="85"/>
        <v>在架</v>
      </c>
      <c r="AI211" t="s">
        <v>65</v>
      </c>
      <c r="AK211" t="str">
        <f t="shared" si="90"/>
        <v>一般(Normal)</v>
      </c>
      <c r="AO211" t="s">
        <v>65</v>
      </c>
      <c r="AS211" t="str">
        <f>("c1998. ")</f>
        <v xml:space="preserve">c1998. </v>
      </c>
      <c r="AT211" t="str">
        <f t="shared" si="91"/>
        <v>catc</v>
      </c>
    </row>
    <row r="212" spans="1:46" x14ac:dyDescent="0.25">
      <c r="A212">
        <v>201</v>
      </c>
      <c r="B212" t="str">
        <f>("289130")</f>
        <v>289130</v>
      </c>
      <c r="C212" t="str">
        <f>("W00002237")</f>
        <v>W00002237</v>
      </c>
      <c r="D212" t="str">
        <f>("Social perspectives on pregnancy and childbirth for midwives, nurses and the caring professions /")</f>
        <v>Social perspectives on pregnancy and childbirth for midwives, nurses and the caring professions /</v>
      </c>
      <c r="E212" t="str">
        <f>("Kent, Julie,1957- ")</f>
        <v xml:space="preserve">Kent, Julie,1957- </v>
      </c>
      <c r="F212" t="str">
        <f>("Open University Press,")</f>
        <v>Open University Press,</v>
      </c>
      <c r="H212" t="str">
        <f t="shared" si="72"/>
        <v>圖書 book</v>
      </c>
      <c r="I212" t="str">
        <f>("RG556 K37 2000")</f>
        <v>RG556 K37 2000</v>
      </c>
      <c r="J212" t="str">
        <f>("0335199127;0335199119")</f>
        <v>0335199127;0335199119</v>
      </c>
      <c r="K212" t="str">
        <f>("748")</f>
        <v>748</v>
      </c>
      <c r="L212" t="str">
        <f t="shared" si="88"/>
        <v>2001/10/10 00:00:00</v>
      </c>
      <c r="M212" t="str">
        <f t="shared" si="92"/>
        <v>2018/08/11 13:34:04</v>
      </c>
      <c r="N212" t="str">
        <f>("2000")</f>
        <v>2000</v>
      </c>
      <c r="O212" t="str">
        <f t="shared" si="83"/>
        <v>4F西文書庫 4F Western Language Books</v>
      </c>
      <c r="P212" t="s">
        <v>64</v>
      </c>
      <c r="W212" t="str">
        <f t="shared" si="93"/>
        <v>美國國會圖書分類法</v>
      </c>
      <c r="Y212" t="str">
        <f>("RG556")</f>
        <v>RG556</v>
      </c>
      <c r="Z212" t="str">
        <f t="shared" si="94"/>
        <v>2018/08/11 13:34:04</v>
      </c>
      <c r="AA212" t="str">
        <f t="shared" si="89"/>
        <v>catc</v>
      </c>
      <c r="AC212" t="str">
        <f>("K37")</f>
        <v>K37</v>
      </c>
      <c r="AE212" t="str">
        <f t="shared" si="82"/>
        <v>c.1</v>
      </c>
      <c r="AF212" t="str">
        <f t="shared" si="84"/>
        <v>1.可借圖書</v>
      </c>
      <c r="AG212" t="str">
        <f t="shared" si="85"/>
        <v>在架</v>
      </c>
      <c r="AI212" t="s">
        <v>65</v>
      </c>
      <c r="AK212" t="str">
        <f t="shared" si="90"/>
        <v>一般(Normal)</v>
      </c>
      <c r="AO212" t="s">
        <v>65</v>
      </c>
      <c r="AS212" t="str">
        <f>("2000")</f>
        <v>2000</v>
      </c>
      <c r="AT212" t="str">
        <f t="shared" si="91"/>
        <v>catc</v>
      </c>
    </row>
    <row r="213" spans="1:46" x14ac:dyDescent="0.25">
      <c r="A213">
        <v>202</v>
      </c>
      <c r="B213" t="str">
        <f>("289131")</f>
        <v>289131</v>
      </c>
      <c r="C213" t="str">
        <f>("W00002238")</f>
        <v>W00002238</v>
      </c>
      <c r="D213" t="str">
        <f>("Secrets of a CEO coach :your personal training guide to thinking like a leader and acting like a CEO /")</f>
        <v>Secrets of a CEO coach :your personal training guide to thinking like a leader and acting like a CEO /</v>
      </c>
      <c r="E213" t="str">
        <f>("Benton, D. A.")</f>
        <v>Benton, D. A.</v>
      </c>
      <c r="F213" t="str">
        <f>("McGraw-Hill,")</f>
        <v>McGraw-Hill,</v>
      </c>
      <c r="H213" t="str">
        <f t="shared" ref="H213:H276" si="95">("圖書 book")</f>
        <v>圖書 book</v>
      </c>
      <c r="I213" t="str">
        <f>("HD57.7 B478 1999")</f>
        <v>HD57.7 B478 1999</v>
      </c>
      <c r="J213" t="str">
        <f>("007007108X")</f>
        <v>007007108X</v>
      </c>
      <c r="K213" t="str">
        <f>("616")</f>
        <v>616</v>
      </c>
      <c r="L213" t="str">
        <f t="shared" si="88"/>
        <v>2001/10/10 00:00:00</v>
      </c>
      <c r="M213" t="str">
        <f t="shared" si="92"/>
        <v>2018/08/11 13:34:04</v>
      </c>
      <c r="N213" t="str">
        <f>("1999")</f>
        <v>1999</v>
      </c>
      <c r="O213" t="str">
        <f t="shared" si="83"/>
        <v>4F西文書庫 4F Western Language Books</v>
      </c>
      <c r="P213" t="s">
        <v>64</v>
      </c>
      <c r="W213" t="str">
        <f t="shared" si="93"/>
        <v>美國國會圖書分類法</v>
      </c>
      <c r="Y213" t="str">
        <f>("HD57.7")</f>
        <v>HD57.7</v>
      </c>
      <c r="Z213" t="str">
        <f t="shared" si="94"/>
        <v>2018/08/11 13:34:04</v>
      </c>
      <c r="AA213" t="str">
        <f t="shared" si="89"/>
        <v>catc</v>
      </c>
      <c r="AC213" t="str">
        <f>("B478")</f>
        <v>B478</v>
      </c>
      <c r="AE213" t="str">
        <f t="shared" si="82"/>
        <v>c.1</v>
      </c>
      <c r="AF213" t="str">
        <f t="shared" si="84"/>
        <v>1.可借圖書</v>
      </c>
      <c r="AG213" t="str">
        <f t="shared" si="85"/>
        <v>在架</v>
      </c>
      <c r="AI213" t="s">
        <v>65</v>
      </c>
      <c r="AK213" t="str">
        <f t="shared" si="90"/>
        <v>一般(Normal)</v>
      </c>
      <c r="AO213" t="s">
        <v>65</v>
      </c>
      <c r="AS213" t="str">
        <f>("c1999. ")</f>
        <v xml:space="preserve">c1999. </v>
      </c>
      <c r="AT213" t="str">
        <f t="shared" si="91"/>
        <v>catc</v>
      </c>
    </row>
    <row r="214" spans="1:46" x14ac:dyDescent="0.25">
      <c r="A214">
        <v>203</v>
      </c>
      <c r="B214" t="str">
        <f>("289132")</f>
        <v>289132</v>
      </c>
      <c r="C214" t="str">
        <f>("W00002239")</f>
        <v>W00002239</v>
      </c>
      <c r="D214" t="str">
        <f>("Brand spirit :how cause related marketing builds brands /")</f>
        <v>Brand spirit :how cause related marketing builds brands /</v>
      </c>
      <c r="E214" t="str">
        <f>("Pringle, Hamish. ")</f>
        <v xml:space="preserve">Pringle, Hamish. </v>
      </c>
      <c r="F214" t="str">
        <f>("Wiley,")</f>
        <v>Wiley,</v>
      </c>
      <c r="G214" t="str">
        <f>("Paperback ed. ")</f>
        <v xml:space="preserve">Paperback ed. </v>
      </c>
      <c r="H214" t="str">
        <f t="shared" si="95"/>
        <v>圖書 book</v>
      </c>
      <c r="I214" t="str">
        <f>("HF5414 P954-2 2001")</f>
        <v>HF5414 P954-2 2001</v>
      </c>
      <c r="J214" t="str">
        <f>("0471499447")</f>
        <v>0471499447</v>
      </c>
      <c r="K214" t="str">
        <f>("636")</f>
        <v>636</v>
      </c>
      <c r="L214" t="str">
        <f t="shared" si="88"/>
        <v>2001/10/10 00:00:00</v>
      </c>
      <c r="M214" t="str">
        <f t="shared" si="92"/>
        <v>2018/08/11 13:34:04</v>
      </c>
      <c r="N214" t="str">
        <f>("2001")</f>
        <v>2001</v>
      </c>
      <c r="O214" t="str">
        <f t="shared" si="83"/>
        <v>4F西文書庫 4F Western Language Books</v>
      </c>
      <c r="P214" t="s">
        <v>64</v>
      </c>
      <c r="W214" t="str">
        <f t="shared" si="93"/>
        <v>美國國會圖書分類法</v>
      </c>
      <c r="Y214" t="str">
        <f>("HF5414")</f>
        <v>HF5414</v>
      </c>
      <c r="Z214" t="str">
        <f t="shared" si="94"/>
        <v>2018/08/11 13:34:04</v>
      </c>
      <c r="AA214" t="str">
        <f t="shared" si="89"/>
        <v>catc</v>
      </c>
      <c r="AC214" t="str">
        <f>("P954-2")</f>
        <v>P954-2</v>
      </c>
      <c r="AE214" t="str">
        <f t="shared" si="82"/>
        <v>c.1</v>
      </c>
      <c r="AF214" t="str">
        <f t="shared" si="84"/>
        <v>1.可借圖書</v>
      </c>
      <c r="AG214" t="str">
        <f t="shared" si="85"/>
        <v>在架</v>
      </c>
      <c r="AI214" t="s">
        <v>65</v>
      </c>
      <c r="AK214" t="str">
        <f t="shared" si="90"/>
        <v>一般(Normal)</v>
      </c>
      <c r="AO214" t="s">
        <v>65</v>
      </c>
      <c r="AS214" t="str">
        <f>("2001. ")</f>
        <v xml:space="preserve">2001. </v>
      </c>
      <c r="AT214" t="str">
        <f t="shared" si="91"/>
        <v>catc</v>
      </c>
    </row>
    <row r="215" spans="1:46" x14ac:dyDescent="0.25">
      <c r="A215">
        <v>204</v>
      </c>
      <c r="B215" t="str">
        <f>("289110")</f>
        <v>289110</v>
      </c>
      <c r="C215" t="str">
        <f>("W00002240")</f>
        <v>W00002240</v>
      </c>
      <c r="D215" t="str">
        <f>("The Audit Process: Principles, Practice and Cases/ ")</f>
        <v xml:space="preserve">The Audit Process: Principles, Practice and Cases/ </v>
      </c>
      <c r="E215" t="str">
        <f>("Gray Iain")</f>
        <v>Gray Iain</v>
      </c>
      <c r="F215" t="str">
        <f>("Thomson Learnig, ")</f>
        <v xml:space="preserve">Thomson Learnig, </v>
      </c>
      <c r="G215" t="str">
        <f>("2nd. ed.")</f>
        <v>2nd. ed.</v>
      </c>
      <c r="H215" t="str">
        <f t="shared" si="95"/>
        <v>圖書 book</v>
      </c>
      <c r="I215" t="str">
        <f>("HF5625.7 G778 2000")</f>
        <v>HF5625.7 G778 2000</v>
      </c>
      <c r="J215" t="str">
        <f>("1861520107")</f>
        <v>1861520107</v>
      </c>
      <c r="K215" t="str">
        <f>("1292")</f>
        <v>1292</v>
      </c>
      <c r="L215" t="str">
        <f t="shared" si="88"/>
        <v>2001/10/10 00:00:00</v>
      </c>
      <c r="M215" t="str">
        <f t="shared" si="92"/>
        <v>2018/08/11 13:34:04</v>
      </c>
      <c r="N215" t="str">
        <f>("2000")</f>
        <v>2000</v>
      </c>
      <c r="O215" t="str">
        <f t="shared" si="83"/>
        <v>4F西文書庫 4F Western Language Books</v>
      </c>
      <c r="P215" t="s">
        <v>64</v>
      </c>
      <c r="W215" t="str">
        <f t="shared" si="93"/>
        <v>美國國會圖書分類法</v>
      </c>
      <c r="Y215" t="str">
        <f>("HF5625.7")</f>
        <v>HF5625.7</v>
      </c>
      <c r="Z215" t="str">
        <f t="shared" si="94"/>
        <v>2018/08/11 13:34:04</v>
      </c>
      <c r="AA215" t="str">
        <f t="shared" si="89"/>
        <v>catc</v>
      </c>
      <c r="AC215" t="str">
        <f>("G778")</f>
        <v>G778</v>
      </c>
      <c r="AE215" t="str">
        <f t="shared" ref="AE215:AE246" si="96">("c.1")</f>
        <v>c.1</v>
      </c>
      <c r="AF215" t="str">
        <f t="shared" si="84"/>
        <v>1.可借圖書</v>
      </c>
      <c r="AG215" t="str">
        <f t="shared" si="85"/>
        <v>在架</v>
      </c>
      <c r="AI215" t="s">
        <v>65</v>
      </c>
      <c r="AK215" t="str">
        <f t="shared" si="90"/>
        <v>一般(Normal)</v>
      </c>
      <c r="AO215" t="s">
        <v>65</v>
      </c>
      <c r="AS215" t="str">
        <f>("2000.")</f>
        <v>2000.</v>
      </c>
      <c r="AT215" t="str">
        <f t="shared" si="91"/>
        <v>catc</v>
      </c>
    </row>
    <row r="216" spans="1:46" x14ac:dyDescent="0.25">
      <c r="A216">
        <v>205</v>
      </c>
      <c r="B216" t="str">
        <f>("289133")</f>
        <v>289133</v>
      </c>
      <c r="C216" t="str">
        <f>("W00002241")</f>
        <v>W00002241</v>
      </c>
      <c r="D216" t="str">
        <f>("Export practice and management /")</f>
        <v>Export practice and management /</v>
      </c>
      <c r="E216" t="str">
        <f>("Branch, Alan E.1933- ")</f>
        <v xml:space="preserve">Branch, Alan E.1933- </v>
      </c>
      <c r="F216" t="str">
        <f>("Thomson Learning,;Business Press :")</f>
        <v>Thomson Learning,;Business Press :</v>
      </c>
      <c r="G216" t="str">
        <f>("4th ed ")</f>
        <v xml:space="preserve">4th ed </v>
      </c>
      <c r="H216" t="str">
        <f t="shared" si="95"/>
        <v>圖書 book</v>
      </c>
      <c r="I216" t="str">
        <f>("HG388.1 B816 2000")</f>
        <v>HG388.1 B816 2000</v>
      </c>
      <c r="J216" t="str">
        <f>("1861524730")</f>
        <v>1861524730</v>
      </c>
      <c r="K216" t="str">
        <f>("1108")</f>
        <v>1108</v>
      </c>
      <c r="L216" t="str">
        <f t="shared" si="88"/>
        <v>2001/10/10 00:00:00</v>
      </c>
      <c r="M216" t="str">
        <f>("2018/08/11 13:34:05")</f>
        <v>2018/08/11 13:34:05</v>
      </c>
      <c r="N216" t="str">
        <f>("2000")</f>
        <v>2000</v>
      </c>
      <c r="O216" t="str">
        <f t="shared" si="83"/>
        <v>4F西文書庫 4F Western Language Books</v>
      </c>
      <c r="P216" t="s">
        <v>64</v>
      </c>
      <c r="W216" t="str">
        <f t="shared" si="93"/>
        <v>美國國會圖書分類法</v>
      </c>
      <c r="Y216" t="str">
        <f>("HG388.1")</f>
        <v>HG388.1</v>
      </c>
      <c r="Z216" t="str">
        <f t="shared" si="94"/>
        <v>2018/08/11 13:34:04</v>
      </c>
      <c r="AA216" t="str">
        <f t="shared" si="89"/>
        <v>catc</v>
      </c>
      <c r="AC216" t="str">
        <f>("B816")</f>
        <v>B816</v>
      </c>
      <c r="AE216" t="str">
        <f t="shared" si="96"/>
        <v>c.1</v>
      </c>
      <c r="AF216" t="str">
        <f t="shared" si="84"/>
        <v>1.可借圖書</v>
      </c>
      <c r="AG216" t="str">
        <f t="shared" si="85"/>
        <v>在架</v>
      </c>
      <c r="AI216" t="s">
        <v>65</v>
      </c>
      <c r="AK216" t="str">
        <f t="shared" si="90"/>
        <v>一般(Normal)</v>
      </c>
      <c r="AO216" t="s">
        <v>65</v>
      </c>
      <c r="AS216" t="str">
        <f>("c2000 ")</f>
        <v xml:space="preserve">c2000 </v>
      </c>
      <c r="AT216" t="str">
        <f t="shared" si="91"/>
        <v>catc</v>
      </c>
    </row>
    <row r="217" spans="1:46" x14ac:dyDescent="0.25">
      <c r="A217">
        <v>206</v>
      </c>
      <c r="B217" t="str">
        <f>("287901")</f>
        <v>287901</v>
      </c>
      <c r="C217" t="str">
        <f>("W00002242")</f>
        <v>W00002242</v>
      </c>
      <c r="D217" t="str">
        <f>("Global and transnational business :strategy and management /")</f>
        <v>Global and transnational business :strategy and management /</v>
      </c>
      <c r="E217" t="str">
        <f>("Stonehouse, George")</f>
        <v>Stonehouse, George</v>
      </c>
      <c r="F217" t="str">
        <f>("Wiley,")</f>
        <v>Wiley,</v>
      </c>
      <c r="H217" t="str">
        <f t="shared" si="95"/>
        <v>圖書 book</v>
      </c>
      <c r="I217" t="str">
        <f>("HD62.4 G562 2000")</f>
        <v>HD62.4 G562 2000</v>
      </c>
      <c r="J217" t="str">
        <f>("0471988197")</f>
        <v>0471988197</v>
      </c>
      <c r="K217" t="str">
        <f>("1152")</f>
        <v>1152</v>
      </c>
      <c r="L217" t="str">
        <f t="shared" si="88"/>
        <v>2001/10/10 00:00:00</v>
      </c>
      <c r="M217" t="str">
        <f>("2018/08/11 13:32:03")</f>
        <v>2018/08/11 13:32:03</v>
      </c>
      <c r="N217" t="str">
        <f>("2000")</f>
        <v>2000</v>
      </c>
      <c r="O217" t="str">
        <f t="shared" si="83"/>
        <v>4F西文書庫 4F Western Language Books</v>
      </c>
      <c r="P217" t="s">
        <v>64</v>
      </c>
      <c r="S217" t="str">
        <f>("xvi, 463 p. :")</f>
        <v>xvi, 463 p. :</v>
      </c>
      <c r="T217" t="str">
        <f>("ill. ;")</f>
        <v>ill. ;</v>
      </c>
      <c r="U217" t="str">
        <f>("25 cm ")</f>
        <v xml:space="preserve">25 cm </v>
      </c>
      <c r="W217" t="str">
        <f t="shared" si="93"/>
        <v>美國國會圖書分類法</v>
      </c>
      <c r="Y217" t="str">
        <f>("HD62.4")</f>
        <v>HD62.4</v>
      </c>
      <c r="Z217" t="str">
        <f>("2018/08/11 13:32:03")</f>
        <v>2018/08/11 13:32:03</v>
      </c>
      <c r="AA217" t="str">
        <f t="shared" si="89"/>
        <v>catc</v>
      </c>
      <c r="AC217" t="str">
        <f>("G562")</f>
        <v>G562</v>
      </c>
      <c r="AE217" t="str">
        <f t="shared" si="96"/>
        <v>c.1</v>
      </c>
      <c r="AF217" t="str">
        <f t="shared" si="84"/>
        <v>1.可借圖書</v>
      </c>
      <c r="AG217" t="str">
        <f t="shared" si="85"/>
        <v>在架</v>
      </c>
      <c r="AI217" t="s">
        <v>65</v>
      </c>
      <c r="AK217" t="str">
        <f t="shared" si="90"/>
        <v>一般(Normal)</v>
      </c>
      <c r="AO217" t="s">
        <v>65</v>
      </c>
      <c r="AS217" t="str">
        <f>("c2000 ")</f>
        <v xml:space="preserve">c2000 </v>
      </c>
      <c r="AT217" t="str">
        <f t="shared" si="91"/>
        <v>catc</v>
      </c>
    </row>
    <row r="218" spans="1:46" x14ac:dyDescent="0.25">
      <c r="A218">
        <v>207</v>
      </c>
      <c r="B218" t="str">
        <f>("289134")</f>
        <v>289134</v>
      </c>
      <c r="C218" t="str">
        <f>("W00002243")</f>
        <v>W00002243</v>
      </c>
      <c r="D218" t="str">
        <f>("Introduction to organizational behaviour /")</f>
        <v>Introduction to organizational behaviour /</v>
      </c>
      <c r="E218" t="str">
        <f>("Drummond, Helga ")</f>
        <v xml:space="preserve">Drummond, Helga </v>
      </c>
      <c r="F218" t="str">
        <f>("Oxford University Press,")</f>
        <v>Oxford University Press,</v>
      </c>
      <c r="H218" t="str">
        <f t="shared" si="95"/>
        <v>圖書 book</v>
      </c>
      <c r="I218" t="str">
        <f>("HD58.7 D795 2000")</f>
        <v>HD58.7 D795 2000</v>
      </c>
      <c r="J218" t="str">
        <f>("0198782179")</f>
        <v>0198782179</v>
      </c>
      <c r="K218" t="str">
        <f>("880")</f>
        <v>880</v>
      </c>
      <c r="L218" t="str">
        <f t="shared" si="88"/>
        <v>2001/10/10 00:00:00</v>
      </c>
      <c r="M218" t="str">
        <f t="shared" ref="M218:M228" si="97">("2018/08/11 13:34:05")</f>
        <v>2018/08/11 13:34:05</v>
      </c>
      <c r="N218" t="str">
        <f>("2000")</f>
        <v>2000</v>
      </c>
      <c r="O218" t="str">
        <f t="shared" si="83"/>
        <v>4F西文書庫 4F Western Language Books</v>
      </c>
      <c r="P218" t="s">
        <v>64</v>
      </c>
      <c r="W218" t="str">
        <f t="shared" si="93"/>
        <v>美國國會圖書分類法</v>
      </c>
      <c r="Y218" t="str">
        <f>("HD58.7")</f>
        <v>HD58.7</v>
      </c>
      <c r="Z218" t="str">
        <f t="shared" ref="Z218:Z228" si="98">("2018/08/11 13:34:05")</f>
        <v>2018/08/11 13:34:05</v>
      </c>
      <c r="AA218" t="str">
        <f t="shared" si="89"/>
        <v>catc</v>
      </c>
      <c r="AC218" t="str">
        <f>("D795")</f>
        <v>D795</v>
      </c>
      <c r="AE218" t="str">
        <f t="shared" si="96"/>
        <v>c.1</v>
      </c>
      <c r="AF218" t="str">
        <f t="shared" si="84"/>
        <v>1.可借圖書</v>
      </c>
      <c r="AG218" t="str">
        <f t="shared" si="85"/>
        <v>在架</v>
      </c>
      <c r="AI218" t="s">
        <v>65</v>
      </c>
      <c r="AK218" t="str">
        <f t="shared" si="90"/>
        <v>一般(Normal)</v>
      </c>
      <c r="AO218" t="s">
        <v>65</v>
      </c>
      <c r="AS218" t="str">
        <f>("c2000 ")</f>
        <v xml:space="preserve">c2000 </v>
      </c>
      <c r="AT218" t="str">
        <f t="shared" si="91"/>
        <v>catc</v>
      </c>
    </row>
    <row r="219" spans="1:46" x14ac:dyDescent="0.25">
      <c r="A219">
        <v>208</v>
      </c>
      <c r="B219" t="str">
        <f>("289135")</f>
        <v>289135</v>
      </c>
      <c r="C219" t="str">
        <f>("W00002244")</f>
        <v>W00002244</v>
      </c>
      <c r="D219" t="str">
        <f>("Business forecasting /")</f>
        <v>Business forecasting /</v>
      </c>
      <c r="E219" t="str">
        <f>("Hanke, John E.,1940- ")</f>
        <v xml:space="preserve">Hanke, John E.,1940- </v>
      </c>
      <c r="F219" t="str">
        <f>("Prentice Hall,")</f>
        <v>Prentice Hall,</v>
      </c>
      <c r="G219" t="str">
        <f>("6th ed ")</f>
        <v xml:space="preserve">6th ed </v>
      </c>
      <c r="H219" t="str">
        <f t="shared" si="95"/>
        <v>圖書 book</v>
      </c>
      <c r="I219" t="str">
        <f>("HD30.27 H241 1998")</f>
        <v>HD30.27 H241 1998</v>
      </c>
      <c r="J219" t="str">
        <f>("0137817185")</f>
        <v>0137817185</v>
      </c>
      <c r="K219" t="str">
        <f>("1000")</f>
        <v>1000</v>
      </c>
      <c r="L219" t="str">
        <f t="shared" si="88"/>
        <v>2001/10/10 00:00:00</v>
      </c>
      <c r="M219" t="str">
        <f t="shared" si="97"/>
        <v>2018/08/11 13:34:05</v>
      </c>
      <c r="N219" t="str">
        <f>("1998")</f>
        <v>1998</v>
      </c>
      <c r="O219" t="str">
        <f t="shared" si="83"/>
        <v>4F西文書庫 4F Western Language Books</v>
      </c>
      <c r="P219" t="s">
        <v>64</v>
      </c>
      <c r="W219" t="str">
        <f t="shared" si="93"/>
        <v>美國國會圖書分類法</v>
      </c>
      <c r="Y219" t="str">
        <f>("HD30.27")</f>
        <v>HD30.27</v>
      </c>
      <c r="Z219" t="str">
        <f t="shared" si="98"/>
        <v>2018/08/11 13:34:05</v>
      </c>
      <c r="AA219" t="str">
        <f t="shared" si="89"/>
        <v>catc</v>
      </c>
      <c r="AC219" t="str">
        <f>("H241")</f>
        <v>H241</v>
      </c>
      <c r="AE219" t="str">
        <f t="shared" si="96"/>
        <v>c.1</v>
      </c>
      <c r="AF219" t="str">
        <f t="shared" si="84"/>
        <v>1.可借圖書</v>
      </c>
      <c r="AG219" t="str">
        <f t="shared" si="85"/>
        <v>在架</v>
      </c>
      <c r="AI219" t="s">
        <v>65</v>
      </c>
      <c r="AK219" t="str">
        <f t="shared" si="90"/>
        <v>一般(Normal)</v>
      </c>
      <c r="AO219" t="s">
        <v>65</v>
      </c>
      <c r="AS219" t="str">
        <f>("c1998 ")</f>
        <v xml:space="preserve">c1998 </v>
      </c>
      <c r="AT219" t="str">
        <f t="shared" si="91"/>
        <v>catc</v>
      </c>
    </row>
    <row r="220" spans="1:46" x14ac:dyDescent="0.25">
      <c r="A220">
        <v>209</v>
      </c>
      <c r="B220" t="str">
        <f>("289136")</f>
        <v>289136</v>
      </c>
      <c r="C220" t="str">
        <f>("W00002245")</f>
        <v>W00002245</v>
      </c>
      <c r="D220" t="str">
        <f>("Investment appraisal :a managerial approach /")</f>
        <v>Investment appraisal :a managerial approach /</v>
      </c>
      <c r="E220" t="str">
        <f>("Pettinger, Richard. ")</f>
        <v xml:space="preserve">Pettinger, Richard. </v>
      </c>
      <c r="F220" t="str">
        <f>("St. Martin's Press,")</f>
        <v>St. Martin's Press,</v>
      </c>
      <c r="H220" t="str">
        <f t="shared" si="95"/>
        <v>圖書 book</v>
      </c>
      <c r="I220" t="str">
        <f>("HG4529 P511 2000")</f>
        <v>HG4529 P511 2000</v>
      </c>
      <c r="J220" t="str">
        <f>("0312233906")</f>
        <v>0312233906</v>
      </c>
      <c r="K220" t="str">
        <f>("831")</f>
        <v>831</v>
      </c>
      <c r="L220" t="str">
        <f t="shared" si="88"/>
        <v>2001/10/10 00:00:00</v>
      </c>
      <c r="M220" t="str">
        <f t="shared" si="97"/>
        <v>2018/08/11 13:34:05</v>
      </c>
      <c r="N220" t="str">
        <f>("2000")</f>
        <v>2000</v>
      </c>
      <c r="O220" t="str">
        <f t="shared" si="83"/>
        <v>4F西文書庫 4F Western Language Books</v>
      </c>
      <c r="P220" t="s">
        <v>64</v>
      </c>
      <c r="W220" t="str">
        <f t="shared" si="93"/>
        <v>美國國會圖書分類法</v>
      </c>
      <c r="Y220" t="str">
        <f>("HG4529")</f>
        <v>HG4529</v>
      </c>
      <c r="Z220" t="str">
        <f t="shared" si="98"/>
        <v>2018/08/11 13:34:05</v>
      </c>
      <c r="AA220" t="str">
        <f t="shared" si="89"/>
        <v>catc</v>
      </c>
      <c r="AC220" t="str">
        <f>("P511")</f>
        <v>P511</v>
      </c>
      <c r="AE220" t="str">
        <f t="shared" si="96"/>
        <v>c.1</v>
      </c>
      <c r="AF220" t="str">
        <f t="shared" si="84"/>
        <v>1.可借圖書</v>
      </c>
      <c r="AG220" t="str">
        <f t="shared" si="85"/>
        <v>在架</v>
      </c>
      <c r="AI220" t="s">
        <v>65</v>
      </c>
      <c r="AK220" t="str">
        <f t="shared" si="90"/>
        <v>一般(Normal)</v>
      </c>
      <c r="AO220" t="s">
        <v>65</v>
      </c>
      <c r="AS220" t="str">
        <f>("2000. ")</f>
        <v xml:space="preserve">2000. </v>
      </c>
      <c r="AT220" t="str">
        <f t="shared" si="91"/>
        <v>catc</v>
      </c>
    </row>
    <row r="221" spans="1:46" x14ac:dyDescent="0.25">
      <c r="A221">
        <v>210</v>
      </c>
      <c r="B221" t="str">
        <f>("289137")</f>
        <v>289137</v>
      </c>
      <c r="C221" t="str">
        <f>("W00002246")</f>
        <v>W00002246</v>
      </c>
      <c r="D221" t="str">
        <f>("Training in the workplace :critical perspectives in learning at work /")</f>
        <v>Training in the workplace :critical perspectives in learning at work /</v>
      </c>
      <c r="E221" t="str">
        <f>("Rainbird, Helen. ")</f>
        <v xml:space="preserve">Rainbird, Helen. </v>
      </c>
      <c r="F221" t="str">
        <f>("Macmillan ;;St. Martin's Press,")</f>
        <v>Macmillan ;;St. Martin's Press,</v>
      </c>
      <c r="H221" t="str">
        <f t="shared" si="95"/>
        <v>圖書 book</v>
      </c>
      <c r="I221" t="str">
        <f>("HF5549.5.T7 T768 2001")</f>
        <v>HF5549.5.T7 T768 2001</v>
      </c>
      <c r="J221" t="str">
        <f>("0333616715")</f>
        <v>0333616715</v>
      </c>
      <c r="K221" t="str">
        <f>("792")</f>
        <v>792</v>
      </c>
      <c r="L221" t="str">
        <f t="shared" si="88"/>
        <v>2001/10/10 00:00:00</v>
      </c>
      <c r="M221" t="str">
        <f t="shared" si="97"/>
        <v>2018/08/11 13:34:05</v>
      </c>
      <c r="N221" t="str">
        <f>("2001")</f>
        <v>2001</v>
      </c>
      <c r="O221" t="str">
        <f t="shared" si="83"/>
        <v>4F西文書庫 4F Western Language Books</v>
      </c>
      <c r="P221" t="s">
        <v>64</v>
      </c>
      <c r="W221" t="str">
        <f t="shared" si="93"/>
        <v>美國國會圖書分類法</v>
      </c>
      <c r="Y221" t="str">
        <f>("HF5549.5.T7")</f>
        <v>HF5549.5.T7</v>
      </c>
      <c r="Z221" t="str">
        <f t="shared" si="98"/>
        <v>2018/08/11 13:34:05</v>
      </c>
      <c r="AA221" t="str">
        <f t="shared" si="89"/>
        <v>catc</v>
      </c>
      <c r="AC221" t="str">
        <f>("T768")</f>
        <v>T768</v>
      </c>
      <c r="AE221" t="str">
        <f t="shared" si="96"/>
        <v>c.1</v>
      </c>
      <c r="AF221" t="str">
        <f t="shared" si="84"/>
        <v>1.可借圖書</v>
      </c>
      <c r="AG221" t="str">
        <f t="shared" si="85"/>
        <v>在架</v>
      </c>
      <c r="AI221" t="s">
        <v>65</v>
      </c>
      <c r="AK221" t="str">
        <f t="shared" si="90"/>
        <v>一般(Normal)</v>
      </c>
      <c r="AO221" t="s">
        <v>65</v>
      </c>
      <c r="AS221" t="str">
        <f>("2000. ")</f>
        <v xml:space="preserve">2000. </v>
      </c>
      <c r="AT221" t="str">
        <f t="shared" si="91"/>
        <v>catc</v>
      </c>
    </row>
    <row r="222" spans="1:46" x14ac:dyDescent="0.25">
      <c r="A222">
        <v>211</v>
      </c>
      <c r="B222" t="str">
        <f>("289138")</f>
        <v>289138</v>
      </c>
      <c r="C222" t="str">
        <f>("W00002247")</f>
        <v>W00002247</v>
      </c>
      <c r="D222" t="str">
        <f>("Get your degree online /")</f>
        <v>Get your degree online /</v>
      </c>
      <c r="E222" t="str">
        <f>("Helm, Matthew ")</f>
        <v xml:space="preserve">Helm, Matthew </v>
      </c>
      <c r="F222" t="str">
        <f>("McGraw-Hill,")</f>
        <v>McGraw-Hill,</v>
      </c>
      <c r="H222" t="str">
        <f t="shared" si="95"/>
        <v>圖書 book</v>
      </c>
      <c r="I222" t="str">
        <f>("L901 H478 2000")</f>
        <v>L901 H478 2000</v>
      </c>
      <c r="J222" t="str">
        <f>("0071357130")</f>
        <v>0071357130</v>
      </c>
      <c r="K222" t="str">
        <f>("616")</f>
        <v>616</v>
      </c>
      <c r="L222" t="str">
        <f t="shared" si="88"/>
        <v>2001/10/10 00:00:00</v>
      </c>
      <c r="M222" t="str">
        <f t="shared" si="97"/>
        <v>2018/08/11 13:34:05</v>
      </c>
      <c r="N222" t="str">
        <f>("2000")</f>
        <v>2000</v>
      </c>
      <c r="O222" t="str">
        <f t="shared" si="83"/>
        <v>4F西文書庫 4F Western Language Books</v>
      </c>
      <c r="P222" t="s">
        <v>64</v>
      </c>
      <c r="W222" t="str">
        <f t="shared" si="93"/>
        <v>美國國會圖書分類法</v>
      </c>
      <c r="Y222" t="str">
        <f>("L901")</f>
        <v>L901</v>
      </c>
      <c r="Z222" t="str">
        <f t="shared" si="98"/>
        <v>2018/08/11 13:34:05</v>
      </c>
      <c r="AA222" t="str">
        <f t="shared" si="89"/>
        <v>catc</v>
      </c>
      <c r="AC222" t="str">
        <f>("H478")</f>
        <v>H478</v>
      </c>
      <c r="AE222" t="str">
        <f t="shared" si="96"/>
        <v>c.1</v>
      </c>
      <c r="AF222" t="str">
        <f t="shared" si="84"/>
        <v>1.可借圖書</v>
      </c>
      <c r="AG222" t="str">
        <f t="shared" si="85"/>
        <v>在架</v>
      </c>
      <c r="AI222" t="s">
        <v>65</v>
      </c>
      <c r="AK222" t="str">
        <f t="shared" si="90"/>
        <v>一般(Normal)</v>
      </c>
      <c r="AO222" t="s">
        <v>65</v>
      </c>
      <c r="AS222" t="str">
        <f>("c2000 ")</f>
        <v xml:space="preserve">c2000 </v>
      </c>
      <c r="AT222" t="str">
        <f t="shared" si="91"/>
        <v>catc</v>
      </c>
    </row>
    <row r="223" spans="1:46" x14ac:dyDescent="0.25">
      <c r="A223">
        <v>212</v>
      </c>
      <c r="B223" t="str">
        <f>("289111")</f>
        <v>289111</v>
      </c>
      <c r="C223" t="str">
        <f>("W00002248")</f>
        <v>W00002248</v>
      </c>
      <c r="D223" t="str">
        <f>("Mastering organisational behaviour: /")</f>
        <v>Mastering organisational behaviour: /</v>
      </c>
      <c r="E223" t="str">
        <f>("Pettinger, Richard")</f>
        <v>Pettinger, Richard</v>
      </c>
      <c r="F223" t="str">
        <f>("Macmillanm Press LTD,")</f>
        <v>Macmillanm Press LTD,</v>
      </c>
      <c r="G223" t="str">
        <f>("1st ed.")</f>
        <v>1st ed.</v>
      </c>
      <c r="H223" t="str">
        <f t="shared" si="95"/>
        <v>圖書 book</v>
      </c>
      <c r="I223" t="str">
        <f>("HV43 P511 2001")</f>
        <v>HV43 P511 2001</v>
      </c>
      <c r="J223" t="str">
        <f>("0333792793;0333693434")</f>
        <v>0333792793;0333693434</v>
      </c>
      <c r="K223" t="str">
        <f>("544")</f>
        <v>544</v>
      </c>
      <c r="L223" t="str">
        <f t="shared" si="88"/>
        <v>2001/10/10 00:00:00</v>
      </c>
      <c r="M223" t="str">
        <f t="shared" si="97"/>
        <v>2018/08/11 13:34:05</v>
      </c>
      <c r="N223" t="str">
        <f>("2001")</f>
        <v>2001</v>
      </c>
      <c r="O223" t="str">
        <f>("罕用書庫1-洽櫃台填單 Upon-Request Collection1 fil")</f>
        <v>罕用書庫1-洽櫃台填單 Upon-Request Collection1 fil</v>
      </c>
      <c r="P223" t="s">
        <v>64</v>
      </c>
      <c r="S223" t="str">
        <f>("246 p.:")</f>
        <v>246 p.:</v>
      </c>
      <c r="T223" t="str">
        <f>("ill. ;")</f>
        <v>ill. ;</v>
      </c>
      <c r="U223" t="str">
        <f>("24cm.")</f>
        <v>24cm.</v>
      </c>
      <c r="W223" t="str">
        <f t="shared" si="93"/>
        <v>美國國會圖書分類法</v>
      </c>
      <c r="Y223" t="str">
        <f>("HV43")</f>
        <v>HV43</v>
      </c>
      <c r="Z223" t="str">
        <f t="shared" si="98"/>
        <v>2018/08/11 13:34:05</v>
      </c>
      <c r="AA223" t="str">
        <f t="shared" si="89"/>
        <v>catc</v>
      </c>
      <c r="AC223" t="str">
        <f>("P511")</f>
        <v>P511</v>
      </c>
      <c r="AE223" t="str">
        <f t="shared" si="96"/>
        <v>c.1</v>
      </c>
      <c r="AF223" t="str">
        <f>("不流通")</f>
        <v>不流通</v>
      </c>
      <c r="AG223" t="str">
        <f>("報銷中")</f>
        <v>報銷中</v>
      </c>
      <c r="AI223" t="s">
        <v>65</v>
      </c>
      <c r="AK223" t="str">
        <f t="shared" si="90"/>
        <v>一般(Normal)</v>
      </c>
      <c r="AO223" t="s">
        <v>65</v>
      </c>
      <c r="AS223" t="str">
        <f>("2000.")</f>
        <v>2000.</v>
      </c>
      <c r="AT223" t="str">
        <f t="shared" si="91"/>
        <v>catc</v>
      </c>
    </row>
    <row r="224" spans="1:46" x14ac:dyDescent="0.25">
      <c r="A224">
        <v>213</v>
      </c>
      <c r="B224" t="str">
        <f>("289112")</f>
        <v>289112</v>
      </c>
      <c r="C224" t="str">
        <f>("W00002249")</f>
        <v>W00002249</v>
      </c>
      <c r="D224" t="str">
        <f>("How to survive the E-business downturn:/")</f>
        <v>How to survive the E-business downturn:/</v>
      </c>
      <c r="E224" t="str">
        <f>("Barrow, Colin")</f>
        <v>Barrow, Colin</v>
      </c>
      <c r="F224" t="str">
        <f>("John wiley &amp; sons, LTD,")</f>
        <v>John wiley &amp; sons, LTD,</v>
      </c>
      <c r="H224" t="str">
        <f t="shared" si="95"/>
        <v>圖書 book</v>
      </c>
      <c r="I224" t="str">
        <f>("HF5548.32 B278 2000")</f>
        <v>HF5548.32 B278 2000</v>
      </c>
      <c r="J224" t="str">
        <f>("0471498319")</f>
        <v>0471498319</v>
      </c>
      <c r="K224" t="str">
        <f>("484")</f>
        <v>484</v>
      </c>
      <c r="L224" t="str">
        <f t="shared" si="88"/>
        <v>2001/10/10 00:00:00</v>
      </c>
      <c r="M224" t="str">
        <f t="shared" si="97"/>
        <v>2018/08/11 13:34:05</v>
      </c>
      <c r="N224" t="str">
        <f>("2000")</f>
        <v>2000</v>
      </c>
      <c r="O224" t="str">
        <f t="shared" ref="O224:O231" si="99">("4F西文書庫 4F Western Language Books")</f>
        <v>4F西文書庫 4F Western Language Books</v>
      </c>
      <c r="P224" t="s">
        <v>64</v>
      </c>
      <c r="W224" t="str">
        <f t="shared" si="93"/>
        <v>美國國會圖書分類法</v>
      </c>
      <c r="Y224" t="str">
        <f>("HF5548.32")</f>
        <v>HF5548.32</v>
      </c>
      <c r="Z224" t="str">
        <f t="shared" si="98"/>
        <v>2018/08/11 13:34:05</v>
      </c>
      <c r="AA224" t="str">
        <f t="shared" si="89"/>
        <v>catc</v>
      </c>
      <c r="AC224" t="str">
        <f>("B278")</f>
        <v>B278</v>
      </c>
      <c r="AE224" t="str">
        <f t="shared" si="96"/>
        <v>c.1</v>
      </c>
      <c r="AF224" t="str">
        <f t="shared" ref="AF224:AF231" si="100">("1.可借圖書")</f>
        <v>1.可借圖書</v>
      </c>
      <c r="AG224" t="str">
        <f t="shared" ref="AG224:AG231" si="101">("在架")</f>
        <v>在架</v>
      </c>
      <c r="AI224" t="s">
        <v>65</v>
      </c>
      <c r="AK224" t="str">
        <f t="shared" si="90"/>
        <v>一般(Normal)</v>
      </c>
      <c r="AO224" t="s">
        <v>65</v>
      </c>
      <c r="AS224" t="str">
        <f>("c2000.")</f>
        <v>c2000.</v>
      </c>
      <c r="AT224" t="str">
        <f t="shared" si="91"/>
        <v>catc</v>
      </c>
    </row>
    <row r="225" spans="1:46" x14ac:dyDescent="0.25">
      <c r="A225">
        <v>214</v>
      </c>
      <c r="B225" t="str">
        <f>("289113")</f>
        <v>289113</v>
      </c>
      <c r="C225" t="str">
        <f>("W00002250")</f>
        <v>W00002250</v>
      </c>
      <c r="D225" t="str">
        <f>("Culture and modern life /")</f>
        <v>Culture and modern life /</v>
      </c>
      <c r="E225" t="str">
        <f>("Matsumoto, David Ricky.")</f>
        <v>Matsumoto, David Ricky.</v>
      </c>
      <c r="F225" t="str">
        <f>("Brooks/Cole,")</f>
        <v>Brooks/Cole,</v>
      </c>
      <c r="H225" t="str">
        <f t="shared" si="95"/>
        <v>圖書 book</v>
      </c>
      <c r="I225" t="str">
        <f>("GN502 M343 1997")</f>
        <v>GN502 M343 1997</v>
      </c>
      <c r="J225" t="str">
        <f>("0534496881")</f>
        <v>0534496881</v>
      </c>
      <c r="K225" t="str">
        <f>("400")</f>
        <v>400</v>
      </c>
      <c r="L225" t="str">
        <f t="shared" si="88"/>
        <v>2001/10/10 00:00:00</v>
      </c>
      <c r="M225" t="str">
        <f t="shared" si="97"/>
        <v>2018/08/11 13:34:05</v>
      </c>
      <c r="N225" t="str">
        <f>("1997")</f>
        <v>1997</v>
      </c>
      <c r="O225" t="str">
        <f t="shared" si="99"/>
        <v>4F西文書庫 4F Western Language Books</v>
      </c>
      <c r="P225" t="s">
        <v>64</v>
      </c>
      <c r="W225" t="str">
        <f t="shared" si="93"/>
        <v>美國國會圖書分類法</v>
      </c>
      <c r="Y225" t="str">
        <f>("GN502")</f>
        <v>GN502</v>
      </c>
      <c r="Z225" t="str">
        <f t="shared" si="98"/>
        <v>2018/08/11 13:34:05</v>
      </c>
      <c r="AA225" t="str">
        <f t="shared" si="89"/>
        <v>catc</v>
      </c>
      <c r="AC225" t="str">
        <f>("M343")</f>
        <v>M343</v>
      </c>
      <c r="AE225" t="str">
        <f t="shared" si="96"/>
        <v>c.1</v>
      </c>
      <c r="AF225" t="str">
        <f t="shared" si="100"/>
        <v>1.可借圖書</v>
      </c>
      <c r="AG225" t="str">
        <f t="shared" si="101"/>
        <v>在架</v>
      </c>
      <c r="AI225" t="s">
        <v>65</v>
      </c>
      <c r="AK225" t="str">
        <f t="shared" si="90"/>
        <v>一般(Normal)</v>
      </c>
      <c r="AO225" t="s">
        <v>65</v>
      </c>
      <c r="AS225" t="str">
        <f>("c1997.")</f>
        <v>c1997.</v>
      </c>
      <c r="AT225" t="str">
        <f t="shared" si="91"/>
        <v>catc</v>
      </c>
    </row>
    <row r="226" spans="1:46" x14ac:dyDescent="0.25">
      <c r="A226">
        <v>215</v>
      </c>
      <c r="B226" t="str">
        <f>("289114")</f>
        <v>289114</v>
      </c>
      <c r="C226" t="str">
        <f>("W00002251")</f>
        <v>W00002251</v>
      </c>
      <c r="D226" t="str">
        <f>("International marketing : consuming globally, thinking locally / ")</f>
        <v xml:space="preserve">International marketing : consuming globally, thinking locally / </v>
      </c>
      <c r="E226" t="str">
        <f>("McAuley, Andrew. ")</f>
        <v xml:space="preserve">McAuley, Andrew. </v>
      </c>
      <c r="F226" t="str">
        <f>("Wiley, ")</f>
        <v xml:space="preserve">Wiley, </v>
      </c>
      <c r="H226" t="str">
        <f t="shared" si="95"/>
        <v>圖書 book</v>
      </c>
      <c r="I226" t="str">
        <f>("HF1416 M111 2001")</f>
        <v>HF1416 M111 2001</v>
      </c>
      <c r="J226" t="str">
        <f>("0471897442")</f>
        <v>0471897442</v>
      </c>
      <c r="K226" t="str">
        <f>("1092")</f>
        <v>1092</v>
      </c>
      <c r="L226" t="str">
        <f t="shared" si="88"/>
        <v>2001/10/10 00:00:00</v>
      </c>
      <c r="M226" t="str">
        <f t="shared" si="97"/>
        <v>2018/08/11 13:34:05</v>
      </c>
      <c r="N226" t="str">
        <f>("2001")</f>
        <v>2001</v>
      </c>
      <c r="O226" t="str">
        <f t="shared" si="99"/>
        <v>4F西文書庫 4F Western Language Books</v>
      </c>
      <c r="P226" t="s">
        <v>64</v>
      </c>
      <c r="W226" t="str">
        <f t="shared" si="93"/>
        <v>美國國會圖書分類法</v>
      </c>
      <c r="Y226" t="str">
        <f>("HF1416")</f>
        <v>HF1416</v>
      </c>
      <c r="Z226" t="str">
        <f t="shared" si="98"/>
        <v>2018/08/11 13:34:05</v>
      </c>
      <c r="AA226" t="str">
        <f t="shared" si="89"/>
        <v>catc</v>
      </c>
      <c r="AC226" t="str">
        <f>("M111")</f>
        <v>M111</v>
      </c>
      <c r="AE226" t="str">
        <f t="shared" si="96"/>
        <v>c.1</v>
      </c>
      <c r="AF226" t="str">
        <f t="shared" si="100"/>
        <v>1.可借圖書</v>
      </c>
      <c r="AG226" t="str">
        <f t="shared" si="101"/>
        <v>在架</v>
      </c>
      <c r="AI226" t="s">
        <v>65</v>
      </c>
      <c r="AK226" t="str">
        <f t="shared" si="90"/>
        <v>一般(Normal)</v>
      </c>
      <c r="AO226" t="s">
        <v>65</v>
      </c>
      <c r="AS226" t="str">
        <f>("2001. ")</f>
        <v xml:space="preserve">2001. </v>
      </c>
      <c r="AT226" t="str">
        <f t="shared" si="91"/>
        <v>catc</v>
      </c>
    </row>
    <row r="227" spans="1:46" x14ac:dyDescent="0.25">
      <c r="A227">
        <v>216</v>
      </c>
      <c r="B227" t="str">
        <f>("289115")</f>
        <v>289115</v>
      </c>
      <c r="C227" t="str">
        <f>("W00002252")</f>
        <v>W00002252</v>
      </c>
      <c r="D227" t="str">
        <f>("Managing through organisation :the management process,forms of organization, and the work of managers /")</f>
        <v>Managing through organisation :the management process,forms of organization, and the work of managers /</v>
      </c>
      <c r="E227" t="str">
        <f>("Hales, Colin. ")</f>
        <v xml:space="preserve">Hales, Colin. </v>
      </c>
      <c r="F227" t="str">
        <f>("Business Press,")</f>
        <v>Business Press,</v>
      </c>
      <c r="G227" t="str">
        <f>("2nd ed. ")</f>
        <v xml:space="preserve">2nd ed. </v>
      </c>
      <c r="H227" t="str">
        <f t="shared" si="95"/>
        <v>圖書 book</v>
      </c>
      <c r="I227" t="str">
        <f>("HD58.7 H167 2001")</f>
        <v>HD58.7 H167 2001</v>
      </c>
      <c r="J227" t="str">
        <f>("1861525702")</f>
        <v>1861525702</v>
      </c>
      <c r="K227" t="str">
        <f>("1016")</f>
        <v>1016</v>
      </c>
      <c r="L227" t="str">
        <f t="shared" si="88"/>
        <v>2001/10/10 00:00:00</v>
      </c>
      <c r="M227" t="str">
        <f t="shared" si="97"/>
        <v>2018/08/11 13:34:05</v>
      </c>
      <c r="N227" t="str">
        <f>("2001")</f>
        <v>2001</v>
      </c>
      <c r="O227" t="str">
        <f t="shared" si="99"/>
        <v>4F西文書庫 4F Western Language Books</v>
      </c>
      <c r="P227" t="s">
        <v>64</v>
      </c>
      <c r="W227" t="str">
        <f t="shared" si="93"/>
        <v>美國國會圖書分類法</v>
      </c>
      <c r="Y227" t="str">
        <f>("HD58.7")</f>
        <v>HD58.7</v>
      </c>
      <c r="Z227" t="str">
        <f t="shared" si="98"/>
        <v>2018/08/11 13:34:05</v>
      </c>
      <c r="AA227" t="str">
        <f t="shared" si="89"/>
        <v>catc</v>
      </c>
      <c r="AC227" t="str">
        <f>("H167")</f>
        <v>H167</v>
      </c>
      <c r="AE227" t="str">
        <f t="shared" si="96"/>
        <v>c.1</v>
      </c>
      <c r="AF227" t="str">
        <f t="shared" si="100"/>
        <v>1.可借圖書</v>
      </c>
      <c r="AG227" t="str">
        <f t="shared" si="101"/>
        <v>在架</v>
      </c>
      <c r="AI227" t="s">
        <v>65</v>
      </c>
      <c r="AK227" t="str">
        <f t="shared" si="90"/>
        <v>一般(Normal)</v>
      </c>
      <c r="AO227" t="s">
        <v>65</v>
      </c>
      <c r="AS227" t="str">
        <f>("2001. ")</f>
        <v xml:space="preserve">2001. </v>
      </c>
      <c r="AT227" t="str">
        <f t="shared" si="91"/>
        <v>catc</v>
      </c>
    </row>
    <row r="228" spans="1:46" x14ac:dyDescent="0.25">
      <c r="A228">
        <v>217</v>
      </c>
      <c r="B228" t="str">
        <f>("289116")</f>
        <v>289116</v>
      </c>
      <c r="C228" t="str">
        <f>("W00002253")</f>
        <v>W00002253</v>
      </c>
      <c r="D228" t="str">
        <f>("Male bodies : health, culture, and identity / ")</f>
        <v xml:space="preserve">Male bodies : health, culture, and identity / </v>
      </c>
      <c r="E228" t="str">
        <f>("Watson, Jonathan,  1960- ")</f>
        <v xml:space="preserve">Watson, Jonathan,  1960- </v>
      </c>
      <c r="F228" t="str">
        <f>("Open University Press, ")</f>
        <v xml:space="preserve">Open University Press, </v>
      </c>
      <c r="H228" t="str">
        <f t="shared" si="95"/>
        <v>圖書 book</v>
      </c>
      <c r="I228" t="str">
        <f>("RA564.83 W337 1999")</f>
        <v>RA564.83 W337 1999</v>
      </c>
      <c r="J228" t="str">
        <f>("033519785X;0335197868")</f>
        <v>033519785X;0335197868</v>
      </c>
      <c r="K228" t="str">
        <f>("680")</f>
        <v>680</v>
      </c>
      <c r="L228" t="str">
        <f t="shared" si="88"/>
        <v>2001/10/10 00:00:00</v>
      </c>
      <c r="M228" t="str">
        <f t="shared" si="97"/>
        <v>2018/08/11 13:34:05</v>
      </c>
      <c r="N228" t="str">
        <f>("1999")</f>
        <v>1999</v>
      </c>
      <c r="O228" t="str">
        <f t="shared" si="99"/>
        <v>4F西文書庫 4F Western Language Books</v>
      </c>
      <c r="P228" t="s">
        <v>64</v>
      </c>
      <c r="W228" t="str">
        <f t="shared" si="93"/>
        <v>美國國會圖書分類法</v>
      </c>
      <c r="Y228" t="str">
        <f>("RA564.83")</f>
        <v>RA564.83</v>
      </c>
      <c r="Z228" t="str">
        <f t="shared" si="98"/>
        <v>2018/08/11 13:34:05</v>
      </c>
      <c r="AA228" t="str">
        <f t="shared" si="89"/>
        <v>catc</v>
      </c>
      <c r="AC228" t="str">
        <f>("W337")</f>
        <v>W337</v>
      </c>
      <c r="AE228" t="str">
        <f t="shared" si="96"/>
        <v>c.1</v>
      </c>
      <c r="AF228" t="str">
        <f t="shared" si="100"/>
        <v>1.可借圖書</v>
      </c>
      <c r="AG228" t="str">
        <f t="shared" si="101"/>
        <v>在架</v>
      </c>
      <c r="AI228" t="s">
        <v>65</v>
      </c>
      <c r="AK228" t="str">
        <f t="shared" si="90"/>
        <v>一般(Normal)</v>
      </c>
      <c r="AO228" t="s">
        <v>65</v>
      </c>
      <c r="AS228" t="str">
        <f>("1999. ")</f>
        <v xml:space="preserve">1999. </v>
      </c>
      <c r="AT228" t="str">
        <f t="shared" si="91"/>
        <v>catc</v>
      </c>
    </row>
    <row r="229" spans="1:46" x14ac:dyDescent="0.25">
      <c r="A229">
        <v>218</v>
      </c>
      <c r="B229" t="str">
        <f>("289117")</f>
        <v>289117</v>
      </c>
      <c r="C229" t="str">
        <f>("W00002254")</f>
        <v>W00002254</v>
      </c>
      <c r="D229" t="str">
        <f>("Counselling skills in social work practice /")</f>
        <v>Counselling skills in social work practice /</v>
      </c>
      <c r="E229" t="str">
        <f>("Seden, Janet,1947-")</f>
        <v>Seden, Janet,1947-</v>
      </c>
      <c r="F229" t="str">
        <f>("Open University Press,")</f>
        <v>Open University Press,</v>
      </c>
      <c r="H229" t="str">
        <f t="shared" si="95"/>
        <v>圖書 book</v>
      </c>
      <c r="I229" t="str">
        <f>("HV245 S447 1999")</f>
        <v>HV245 S447 1999</v>
      </c>
      <c r="J229" t="str">
        <f>("0335199690;0335199682")</f>
        <v>0335199690;0335199682</v>
      </c>
      <c r="K229" t="str">
        <f>("560")</f>
        <v>560</v>
      </c>
      <c r="L229" t="str">
        <f t="shared" si="88"/>
        <v>2001/10/10 00:00:00</v>
      </c>
      <c r="M229" t="str">
        <f>("2018/08/11 13:34:06")</f>
        <v>2018/08/11 13:34:06</v>
      </c>
      <c r="N229" t="str">
        <f>("1999")</f>
        <v>1999</v>
      </c>
      <c r="O229" t="str">
        <f t="shared" si="99"/>
        <v>4F西文書庫 4F Western Language Books</v>
      </c>
      <c r="P229" t="s">
        <v>64</v>
      </c>
      <c r="W229" t="str">
        <f t="shared" si="93"/>
        <v>美國國會圖書分類法</v>
      </c>
      <c r="Y229" t="str">
        <f>("HV245")</f>
        <v>HV245</v>
      </c>
      <c r="Z229" t="str">
        <f>("2018/08/11 13:34:06")</f>
        <v>2018/08/11 13:34:06</v>
      </c>
      <c r="AA229" t="str">
        <f t="shared" si="89"/>
        <v>catc</v>
      </c>
      <c r="AC229" t="str">
        <f>("S447")</f>
        <v>S447</v>
      </c>
      <c r="AE229" t="str">
        <f t="shared" si="96"/>
        <v>c.1</v>
      </c>
      <c r="AF229" t="str">
        <f t="shared" si="100"/>
        <v>1.可借圖書</v>
      </c>
      <c r="AG229" t="str">
        <f t="shared" si="101"/>
        <v>在架</v>
      </c>
      <c r="AI229" t="s">
        <v>65</v>
      </c>
      <c r="AK229" t="str">
        <f t="shared" si="90"/>
        <v>一般(Normal)</v>
      </c>
      <c r="AO229" t="s">
        <v>65</v>
      </c>
      <c r="AS229" t="str">
        <f>("1999.")</f>
        <v>1999.</v>
      </c>
      <c r="AT229" t="str">
        <f t="shared" si="91"/>
        <v>catc</v>
      </c>
    </row>
    <row r="230" spans="1:46" x14ac:dyDescent="0.25">
      <c r="A230">
        <v>219</v>
      </c>
      <c r="B230" t="str">
        <f>("289139")</f>
        <v>289139</v>
      </c>
      <c r="C230" t="str">
        <f>("W00002255")</f>
        <v>W00002255</v>
      </c>
      <c r="D230" t="str">
        <f>("The age of learning :education and the knowledge society/")</f>
        <v>The age of learning :education and the knowledge society/</v>
      </c>
      <c r="E230" t="str">
        <f>("Jarvis, Peter,1937- ")</f>
        <v xml:space="preserve">Jarvis, Peter,1937- </v>
      </c>
      <c r="F230" t="str">
        <f>("Kogan Page,")</f>
        <v>Kogan Page,</v>
      </c>
      <c r="H230" t="str">
        <f t="shared" si="95"/>
        <v>圖書 book</v>
      </c>
      <c r="I230" t="str">
        <f>("LB1060 J38 2001")</f>
        <v>LB1060 J38 2001</v>
      </c>
      <c r="J230" t="str">
        <f>("0749434120;0749434112")</f>
        <v>0749434120;0749434112</v>
      </c>
      <c r="K230" t="str">
        <f>("832")</f>
        <v>832</v>
      </c>
      <c r="L230" t="str">
        <f t="shared" si="88"/>
        <v>2001/10/10 00:00:00</v>
      </c>
      <c r="M230" t="str">
        <f>("2018/08/11 13:34:06")</f>
        <v>2018/08/11 13:34:06</v>
      </c>
      <c r="N230" t="str">
        <f>("2001")</f>
        <v>2001</v>
      </c>
      <c r="O230" t="str">
        <f t="shared" si="99"/>
        <v>4F西文書庫 4F Western Language Books</v>
      </c>
      <c r="P230" t="s">
        <v>64</v>
      </c>
      <c r="W230" t="str">
        <f t="shared" si="93"/>
        <v>美國國會圖書分類法</v>
      </c>
      <c r="Y230" t="str">
        <f>("LB1060")</f>
        <v>LB1060</v>
      </c>
      <c r="Z230" t="str">
        <f>("2018/08/11 13:34:06")</f>
        <v>2018/08/11 13:34:06</v>
      </c>
      <c r="AA230" t="str">
        <f t="shared" si="89"/>
        <v>catc</v>
      </c>
      <c r="AC230" t="str">
        <f>("J38")</f>
        <v>J38</v>
      </c>
      <c r="AE230" t="str">
        <f t="shared" si="96"/>
        <v>c.1</v>
      </c>
      <c r="AF230" t="str">
        <f t="shared" si="100"/>
        <v>1.可借圖書</v>
      </c>
      <c r="AG230" t="str">
        <f t="shared" si="101"/>
        <v>在架</v>
      </c>
      <c r="AI230" t="s">
        <v>65</v>
      </c>
      <c r="AK230" t="str">
        <f t="shared" si="90"/>
        <v>一般(Normal)</v>
      </c>
      <c r="AO230" t="s">
        <v>65</v>
      </c>
      <c r="AS230" t="str">
        <f>("2001 ")</f>
        <v xml:space="preserve">2001 </v>
      </c>
      <c r="AT230" t="str">
        <f t="shared" si="91"/>
        <v>catc</v>
      </c>
    </row>
    <row r="231" spans="1:46" x14ac:dyDescent="0.25">
      <c r="A231">
        <v>220</v>
      </c>
      <c r="B231" t="str">
        <f>("287458")</f>
        <v>287458</v>
      </c>
      <c r="C231" t="str">
        <f>("W00002256")</f>
        <v>W00002256</v>
      </c>
      <c r="D231" t="str">
        <f>("Electronic commerce :strategies and models for business-to-business trading /")</f>
        <v>Electronic commerce :strategies and models for business-to-business trading /</v>
      </c>
      <c r="E231" t="str">
        <f>("Timmers, Paul.")</f>
        <v>Timmers, Paul.</v>
      </c>
      <c r="F231" t="str">
        <f>("Wiley,")</f>
        <v>Wiley,</v>
      </c>
      <c r="H231" t="str">
        <f t="shared" si="95"/>
        <v>圖書 book</v>
      </c>
      <c r="I231" t="str">
        <f>("HF5548.32 T584 1999")</f>
        <v>HF5548.32 T584 1999</v>
      </c>
      <c r="J231" t="str">
        <f>("0471720291")</f>
        <v>0471720291</v>
      </c>
      <c r="K231" t="str">
        <f>("740")</f>
        <v>740</v>
      </c>
      <c r="L231" t="str">
        <f t="shared" si="88"/>
        <v>2001/10/10 00:00:00</v>
      </c>
      <c r="M231" t="str">
        <f>("2018/08/11 13:31:18")</f>
        <v>2018/08/11 13:31:18</v>
      </c>
      <c r="N231" t="str">
        <f>("1999")</f>
        <v>1999</v>
      </c>
      <c r="O231" t="str">
        <f t="shared" si="99"/>
        <v>4F西文書庫 4F Western Language Books</v>
      </c>
      <c r="P231" t="s">
        <v>64</v>
      </c>
      <c r="S231" t="str">
        <f>("xx, 268 p. :")</f>
        <v>xx, 268 p. :</v>
      </c>
      <c r="T231" t="str">
        <f>("ill. ;")</f>
        <v>ill. ;</v>
      </c>
      <c r="U231" t="str">
        <f>("24 cm.")</f>
        <v>24 cm.</v>
      </c>
      <c r="W231" t="str">
        <f t="shared" si="93"/>
        <v>美國國會圖書分類法</v>
      </c>
      <c r="Y231" t="str">
        <f>("HF5548.32")</f>
        <v>HF5548.32</v>
      </c>
      <c r="Z231" t="str">
        <f>("2018/08/11 13:31:18")</f>
        <v>2018/08/11 13:31:18</v>
      </c>
      <c r="AA231" t="str">
        <f t="shared" si="89"/>
        <v>catc</v>
      </c>
      <c r="AC231" t="str">
        <f>("T584")</f>
        <v>T584</v>
      </c>
      <c r="AE231" t="str">
        <f t="shared" si="96"/>
        <v>c.1</v>
      </c>
      <c r="AF231" t="str">
        <f t="shared" si="100"/>
        <v>1.可借圖書</v>
      </c>
      <c r="AG231" t="str">
        <f t="shared" si="101"/>
        <v>在架</v>
      </c>
      <c r="AI231" t="s">
        <v>65</v>
      </c>
      <c r="AK231" t="str">
        <f t="shared" si="90"/>
        <v>一般(Normal)</v>
      </c>
      <c r="AO231" t="s">
        <v>65</v>
      </c>
      <c r="AS231" t="str">
        <f>("1999")</f>
        <v>1999</v>
      </c>
      <c r="AT231" t="str">
        <f t="shared" si="91"/>
        <v>catc</v>
      </c>
    </row>
    <row r="232" spans="1:46" x14ac:dyDescent="0.25">
      <c r="A232">
        <v>221</v>
      </c>
      <c r="B232" t="str">
        <f>("289140")</f>
        <v>289140</v>
      </c>
      <c r="C232" t="str">
        <f>("W00002257")</f>
        <v>W00002257</v>
      </c>
      <c r="D232" t="str">
        <f>("Social Europe ")</f>
        <v xml:space="preserve">Social Europe </v>
      </c>
      <c r="E232" t="str">
        <f>("Bailey, Joe.")</f>
        <v>Bailey, Joe.</v>
      </c>
      <c r="F232" t="str">
        <f>("Longman,")</f>
        <v>Longman,</v>
      </c>
      <c r="G232" t="str">
        <f>("2nd ed.")</f>
        <v>2nd ed.</v>
      </c>
      <c r="H232" t="str">
        <f t="shared" si="95"/>
        <v>圖書 book</v>
      </c>
      <c r="I232" t="str">
        <f>("HN373.5 S678 1998")</f>
        <v>HN373.5 S678 1998</v>
      </c>
      <c r="J232" t="str">
        <f>("058231609X")</f>
        <v>058231609X</v>
      </c>
      <c r="K232" t="str">
        <f>("840")</f>
        <v>840</v>
      </c>
      <c r="L232" t="str">
        <f t="shared" si="88"/>
        <v>2001/10/10 00:00:00</v>
      </c>
      <c r="M232" t="str">
        <f t="shared" ref="M232:M240" si="102">("2018/08/11 13:34:06")</f>
        <v>2018/08/11 13:34:06</v>
      </c>
      <c r="N232" t="str">
        <f>("1998")</f>
        <v>1998</v>
      </c>
      <c r="O232" t="str">
        <f>("罕用書庫1-洽櫃台填單 Upon-Request Collection1 fil")</f>
        <v>罕用書庫1-洽櫃台填單 Upon-Request Collection1 fil</v>
      </c>
      <c r="P232" t="s">
        <v>64</v>
      </c>
      <c r="S232" t="str">
        <f>("xv, 280 p. :")</f>
        <v>xv, 280 p. :</v>
      </c>
      <c r="T232" t="str">
        <f>("ill. ;")</f>
        <v>ill. ;</v>
      </c>
      <c r="U232" t="str">
        <f>("22 cm.")</f>
        <v>22 cm.</v>
      </c>
      <c r="W232" t="str">
        <f t="shared" si="93"/>
        <v>美國國會圖書分類法</v>
      </c>
      <c r="Y232" t="str">
        <f>("HN373.5")</f>
        <v>HN373.5</v>
      </c>
      <c r="Z232" t="str">
        <f t="shared" ref="Z232:Z240" si="103">("2018/08/11 13:34:06")</f>
        <v>2018/08/11 13:34:06</v>
      </c>
      <c r="AA232" t="str">
        <f t="shared" si="89"/>
        <v>catc</v>
      </c>
      <c r="AC232" t="str">
        <f>("S678")</f>
        <v>S678</v>
      </c>
      <c r="AE232" t="str">
        <f t="shared" si="96"/>
        <v>c.1</v>
      </c>
      <c r="AF232" t="str">
        <f>("不流通")</f>
        <v>不流通</v>
      </c>
      <c r="AG232" t="str">
        <f>("報銷中")</f>
        <v>報銷中</v>
      </c>
      <c r="AI232" t="s">
        <v>65</v>
      </c>
      <c r="AK232" t="str">
        <f t="shared" si="90"/>
        <v>一般(Normal)</v>
      </c>
      <c r="AO232" t="s">
        <v>65</v>
      </c>
      <c r="AS232" t="str">
        <f>("1998.")</f>
        <v>1998.</v>
      </c>
      <c r="AT232" t="str">
        <f t="shared" si="91"/>
        <v>catc</v>
      </c>
    </row>
    <row r="233" spans="1:46" x14ac:dyDescent="0.25">
      <c r="A233">
        <v>222</v>
      </c>
      <c r="B233" t="str">
        <f>("289141")</f>
        <v>289141</v>
      </c>
      <c r="C233" t="str">
        <f>("W00002258")</f>
        <v>W00002258</v>
      </c>
      <c r="D233" t="str">
        <f>("Harvard business review on finding and keeping the best people. ")</f>
        <v xml:space="preserve">Harvard business review on finding and keeping the best people. </v>
      </c>
      <c r="E233" t="str">
        <f>("")</f>
        <v/>
      </c>
      <c r="F233" t="str">
        <f>("Harvard Business School Press,")</f>
        <v>Harvard Business School Press,</v>
      </c>
      <c r="H233" t="str">
        <f t="shared" si="95"/>
        <v>圖書 book</v>
      </c>
      <c r="I233" t="str">
        <f>("HF5549.5 H341 2001")</f>
        <v>HF5549.5 H341 2001</v>
      </c>
      <c r="J233" t="str">
        <f>("1578515564")</f>
        <v>1578515564</v>
      </c>
      <c r="K233" t="str">
        <f>("592")</f>
        <v>592</v>
      </c>
      <c r="L233" t="str">
        <f t="shared" si="88"/>
        <v>2001/10/10 00:00:00</v>
      </c>
      <c r="M233" t="str">
        <f t="shared" si="102"/>
        <v>2018/08/11 13:34:06</v>
      </c>
      <c r="N233" t="str">
        <f>("2001")</f>
        <v>2001</v>
      </c>
      <c r="O233" t="str">
        <f t="shared" ref="O233:O265" si="104">("4F西文書庫 4F Western Language Books")</f>
        <v>4F西文書庫 4F Western Language Books</v>
      </c>
      <c r="P233" t="s">
        <v>64</v>
      </c>
      <c r="W233" t="str">
        <f t="shared" si="93"/>
        <v>美國國會圖書分類法</v>
      </c>
      <c r="Y233" t="str">
        <f>("HF5549.5")</f>
        <v>HF5549.5</v>
      </c>
      <c r="Z233" t="str">
        <f t="shared" si="103"/>
        <v>2018/08/11 13:34:06</v>
      </c>
      <c r="AA233" t="str">
        <f t="shared" si="89"/>
        <v>catc</v>
      </c>
      <c r="AC233" t="str">
        <f>("H341")</f>
        <v>H341</v>
      </c>
      <c r="AE233" t="str">
        <f t="shared" si="96"/>
        <v>c.1</v>
      </c>
      <c r="AF233" t="str">
        <f t="shared" ref="AF233:AF265" si="105">("1.可借圖書")</f>
        <v>1.可借圖書</v>
      </c>
      <c r="AG233" t="str">
        <f t="shared" ref="AG233:AG265" si="106">("在架")</f>
        <v>在架</v>
      </c>
      <c r="AI233" t="s">
        <v>65</v>
      </c>
      <c r="AK233" t="str">
        <f t="shared" si="90"/>
        <v>一般(Normal)</v>
      </c>
      <c r="AO233" t="s">
        <v>65</v>
      </c>
      <c r="AS233" t="str">
        <f>("c2001. ")</f>
        <v xml:space="preserve">c2001. </v>
      </c>
      <c r="AT233" t="str">
        <f t="shared" si="91"/>
        <v>catc</v>
      </c>
    </row>
    <row r="234" spans="1:46" x14ac:dyDescent="0.25">
      <c r="A234">
        <v>223</v>
      </c>
      <c r="B234" t="str">
        <f>("289142")</f>
        <v>289142</v>
      </c>
      <c r="C234" t="str">
        <f>("W00002259")</f>
        <v>W00002259</v>
      </c>
      <c r="D234" t="str">
        <f>("Buyout :the insider's guide to buying your own company /")</f>
        <v>Buyout :the insider's guide to buying your own company /</v>
      </c>
      <c r="E234" t="str">
        <f>("Rickertsen, Rick ")</f>
        <v xml:space="preserve">Rickertsen, Rick </v>
      </c>
      <c r="F234" t="str">
        <f>("AMACOM,")</f>
        <v>AMACOM,</v>
      </c>
      <c r="H234" t="str">
        <f t="shared" si="95"/>
        <v>圖書 book</v>
      </c>
      <c r="I234" t="str">
        <f>("HD2746.5 R539 2001")</f>
        <v>HD2746.5 R539 2001</v>
      </c>
      <c r="J234" t="str">
        <f>("0814406262")</f>
        <v>0814406262</v>
      </c>
      <c r="K234" t="str">
        <f>("976")</f>
        <v>976</v>
      </c>
      <c r="L234" t="str">
        <f t="shared" si="88"/>
        <v>2001/10/10 00:00:00</v>
      </c>
      <c r="M234" t="str">
        <f t="shared" si="102"/>
        <v>2018/08/11 13:34:06</v>
      </c>
      <c r="N234" t="str">
        <f>("2001")</f>
        <v>2001</v>
      </c>
      <c r="O234" t="str">
        <f t="shared" si="104"/>
        <v>4F西文書庫 4F Western Language Books</v>
      </c>
      <c r="P234" t="s">
        <v>64</v>
      </c>
      <c r="W234" t="str">
        <f t="shared" si="93"/>
        <v>美國國會圖書分類法</v>
      </c>
      <c r="Y234" t="str">
        <f>("HD2746.5")</f>
        <v>HD2746.5</v>
      </c>
      <c r="Z234" t="str">
        <f t="shared" si="103"/>
        <v>2018/08/11 13:34:06</v>
      </c>
      <c r="AA234" t="str">
        <f t="shared" si="89"/>
        <v>catc</v>
      </c>
      <c r="AC234" t="str">
        <f>("R539")</f>
        <v>R539</v>
      </c>
      <c r="AE234" t="str">
        <f t="shared" si="96"/>
        <v>c.1</v>
      </c>
      <c r="AF234" t="str">
        <f t="shared" si="105"/>
        <v>1.可借圖書</v>
      </c>
      <c r="AG234" t="str">
        <f t="shared" si="106"/>
        <v>在架</v>
      </c>
      <c r="AI234" t="s">
        <v>65</v>
      </c>
      <c r="AK234" t="str">
        <f t="shared" si="90"/>
        <v>一般(Normal)</v>
      </c>
      <c r="AO234" t="s">
        <v>65</v>
      </c>
      <c r="AS234" t="str">
        <f>("c2001 ")</f>
        <v xml:space="preserve">c2001 </v>
      </c>
      <c r="AT234" t="str">
        <f t="shared" si="91"/>
        <v>catc</v>
      </c>
    </row>
    <row r="235" spans="1:46" x14ac:dyDescent="0.25">
      <c r="A235">
        <v>224</v>
      </c>
      <c r="B235" t="str">
        <f>("289143")</f>
        <v>289143</v>
      </c>
      <c r="C235" t="str">
        <f>("W00002260")</f>
        <v>W00002260</v>
      </c>
      <c r="D235" t="str">
        <f>("Becoming dynamic:creating and sustaining the dynamic organisation/")</f>
        <v>Becoming dynamic:creating and sustaining the dynamic organisation/</v>
      </c>
      <c r="E235" t="str">
        <f>("Jackson,David")</f>
        <v>Jackson,David</v>
      </c>
      <c r="F235" t="str">
        <f>("Macmillan Business,")</f>
        <v>Macmillan Business,</v>
      </c>
      <c r="H235" t="str">
        <f t="shared" si="95"/>
        <v>圖書 book</v>
      </c>
      <c r="I235" t="str">
        <f>("HB141 J12 2000")</f>
        <v>HB141 J12 2000</v>
      </c>
      <c r="J235" t="str">
        <f>("0333735412")</f>
        <v>0333735412</v>
      </c>
      <c r="K235" t="str">
        <f>("1144")</f>
        <v>1144</v>
      </c>
      <c r="L235" t="str">
        <f t="shared" si="88"/>
        <v>2001/10/10 00:00:00</v>
      </c>
      <c r="M235" t="str">
        <f t="shared" si="102"/>
        <v>2018/08/11 13:34:06</v>
      </c>
      <c r="N235" t="str">
        <f>("2000")</f>
        <v>2000</v>
      </c>
      <c r="O235" t="str">
        <f t="shared" si="104"/>
        <v>4F西文書庫 4F Western Language Books</v>
      </c>
      <c r="P235" t="s">
        <v>64</v>
      </c>
      <c r="W235" t="str">
        <f t="shared" si="93"/>
        <v>美國國會圖書分類法</v>
      </c>
      <c r="Y235" t="str">
        <f>("HB141")</f>
        <v>HB141</v>
      </c>
      <c r="Z235" t="str">
        <f t="shared" si="103"/>
        <v>2018/08/11 13:34:06</v>
      </c>
      <c r="AA235" t="str">
        <f t="shared" si="89"/>
        <v>catc</v>
      </c>
      <c r="AC235" t="str">
        <f>("J12")</f>
        <v>J12</v>
      </c>
      <c r="AE235" t="str">
        <f t="shared" si="96"/>
        <v>c.1</v>
      </c>
      <c r="AF235" t="str">
        <f t="shared" si="105"/>
        <v>1.可借圖書</v>
      </c>
      <c r="AG235" t="str">
        <f t="shared" si="106"/>
        <v>在架</v>
      </c>
      <c r="AI235" t="s">
        <v>65</v>
      </c>
      <c r="AK235" t="str">
        <f t="shared" si="90"/>
        <v>一般(Normal)</v>
      </c>
      <c r="AO235" t="s">
        <v>65</v>
      </c>
      <c r="AS235" t="str">
        <f>("2000.")</f>
        <v>2000.</v>
      </c>
      <c r="AT235" t="str">
        <f t="shared" si="91"/>
        <v>catc</v>
      </c>
    </row>
    <row r="236" spans="1:46" x14ac:dyDescent="0.25">
      <c r="A236">
        <v>225</v>
      </c>
      <c r="B236" t="str">
        <f>("289144")</f>
        <v>289144</v>
      </c>
      <c r="C236" t="str">
        <f>("W00002261")</f>
        <v>W00002261</v>
      </c>
      <c r="D236" t="str">
        <f>("Negotiating globally :how to negotiate deals, resolve disputes, and make decisions across cultural boundaries /")</f>
        <v>Negotiating globally :how to negotiate deals, resolve disputes, and make decisions across cultural boundaries /</v>
      </c>
      <c r="E236" t="str">
        <f>("Brett, Jeanne M ")</f>
        <v xml:space="preserve">Brett, Jeanne M </v>
      </c>
      <c r="F236" t="str">
        <f>("Jossey-Bass,")</f>
        <v>Jossey-Bass,</v>
      </c>
      <c r="G236" t="str">
        <f>("1st ed ")</f>
        <v xml:space="preserve">1st ed </v>
      </c>
      <c r="H236" t="str">
        <f t="shared" si="95"/>
        <v>圖書 book</v>
      </c>
      <c r="I236" t="str">
        <f>("HD58.6 B845 2001")</f>
        <v>HD58.6 B845 2001</v>
      </c>
      <c r="J236" t="str">
        <f>("0787955868")</f>
        <v>0787955868</v>
      </c>
      <c r="K236" t="str">
        <f>("1000")</f>
        <v>1000</v>
      </c>
      <c r="L236" t="str">
        <f t="shared" si="88"/>
        <v>2001/10/10 00:00:00</v>
      </c>
      <c r="M236" t="str">
        <f t="shared" si="102"/>
        <v>2018/08/11 13:34:06</v>
      </c>
      <c r="N236" t="str">
        <f>("2001")</f>
        <v>2001</v>
      </c>
      <c r="O236" t="str">
        <f t="shared" si="104"/>
        <v>4F西文書庫 4F Western Language Books</v>
      </c>
      <c r="P236" t="s">
        <v>64</v>
      </c>
      <c r="W236" t="str">
        <f t="shared" si="93"/>
        <v>美國國會圖書分類法</v>
      </c>
      <c r="Y236" t="str">
        <f>("HD58.6")</f>
        <v>HD58.6</v>
      </c>
      <c r="Z236" t="str">
        <f t="shared" si="103"/>
        <v>2018/08/11 13:34:06</v>
      </c>
      <c r="AA236" t="str">
        <f t="shared" si="89"/>
        <v>catc</v>
      </c>
      <c r="AC236" t="str">
        <f>("B845")</f>
        <v>B845</v>
      </c>
      <c r="AE236" t="str">
        <f t="shared" si="96"/>
        <v>c.1</v>
      </c>
      <c r="AF236" t="str">
        <f t="shared" si="105"/>
        <v>1.可借圖書</v>
      </c>
      <c r="AG236" t="str">
        <f t="shared" si="106"/>
        <v>在架</v>
      </c>
      <c r="AI236" t="s">
        <v>65</v>
      </c>
      <c r="AK236" t="str">
        <f t="shared" si="90"/>
        <v>一般(Normal)</v>
      </c>
      <c r="AO236" t="s">
        <v>65</v>
      </c>
      <c r="AS236" t="str">
        <f>("c2001 ")</f>
        <v xml:space="preserve">c2001 </v>
      </c>
      <c r="AT236" t="str">
        <f t="shared" si="91"/>
        <v>catc</v>
      </c>
    </row>
    <row r="237" spans="1:46" x14ac:dyDescent="0.25">
      <c r="A237">
        <v>226</v>
      </c>
      <c r="B237" t="str">
        <f>("289145")</f>
        <v>289145</v>
      </c>
      <c r="C237" t="str">
        <f>("W00002262")</f>
        <v>W00002262</v>
      </c>
      <c r="D237" t="str">
        <f>("Harvard business review on mergers and acquistions/")</f>
        <v>Harvard business review on mergers and acquistions/</v>
      </c>
      <c r="E237" t="str">
        <f>("")</f>
        <v/>
      </c>
      <c r="F237" t="str">
        <f>("HBS,")</f>
        <v>HBS,</v>
      </c>
      <c r="H237" t="str">
        <f t="shared" si="95"/>
        <v>圖書 book</v>
      </c>
      <c r="I237" t="str">
        <f>("HD2745.6 H341 2001")</f>
        <v>HD2745.6 H341 2001</v>
      </c>
      <c r="J237" t="str">
        <f>("1578515556")</f>
        <v>1578515556</v>
      </c>
      <c r="K237" t="str">
        <f>("592")</f>
        <v>592</v>
      </c>
      <c r="L237" t="str">
        <f t="shared" si="88"/>
        <v>2001/10/10 00:00:00</v>
      </c>
      <c r="M237" t="str">
        <f t="shared" si="102"/>
        <v>2018/08/11 13:34:06</v>
      </c>
      <c r="N237" t="str">
        <f>("2001")</f>
        <v>2001</v>
      </c>
      <c r="O237" t="str">
        <f t="shared" si="104"/>
        <v>4F西文書庫 4F Western Language Books</v>
      </c>
      <c r="P237" t="s">
        <v>64</v>
      </c>
      <c r="W237" t="str">
        <f t="shared" si="93"/>
        <v>美國國會圖書分類法</v>
      </c>
      <c r="Y237" t="str">
        <f>("HD2745.6")</f>
        <v>HD2745.6</v>
      </c>
      <c r="Z237" t="str">
        <f t="shared" si="103"/>
        <v>2018/08/11 13:34:06</v>
      </c>
      <c r="AA237" t="str">
        <f t="shared" si="89"/>
        <v>catc</v>
      </c>
      <c r="AC237" t="str">
        <f>("H341")</f>
        <v>H341</v>
      </c>
      <c r="AE237" t="str">
        <f t="shared" si="96"/>
        <v>c.1</v>
      </c>
      <c r="AF237" t="str">
        <f t="shared" si="105"/>
        <v>1.可借圖書</v>
      </c>
      <c r="AG237" t="str">
        <f t="shared" si="106"/>
        <v>在架</v>
      </c>
      <c r="AI237" t="s">
        <v>65</v>
      </c>
      <c r="AK237" t="str">
        <f t="shared" si="90"/>
        <v>一般(Normal)</v>
      </c>
      <c r="AO237" t="s">
        <v>65</v>
      </c>
      <c r="AS237" t="str">
        <f>("c2001.")</f>
        <v>c2001.</v>
      </c>
      <c r="AT237" t="str">
        <f t="shared" si="91"/>
        <v>catc</v>
      </c>
    </row>
    <row r="238" spans="1:46" x14ac:dyDescent="0.25">
      <c r="A238">
        <v>227</v>
      </c>
      <c r="B238" t="str">
        <f>("289118")</f>
        <v>289118</v>
      </c>
      <c r="C238" t="str">
        <f>("W00002263")</f>
        <v>W00002263</v>
      </c>
      <c r="D238" t="str">
        <f>("Social worker and psychotropic medication:toward effective collaboration with mental health clients,families,and providers/")</f>
        <v>Social worker and psychotropic medication:toward effective collaboration with mental health clients,families,and providers/</v>
      </c>
      <c r="E238" t="str">
        <f>("Bentley,Kia J. ")</f>
        <v xml:space="preserve">Bentley,Kia J. </v>
      </c>
      <c r="F238" t="str">
        <f>("Brooks/Cole,")</f>
        <v>Brooks/Cole,</v>
      </c>
      <c r="H238" t="str">
        <f t="shared" si="95"/>
        <v>圖書 book</v>
      </c>
      <c r="I238" t="str">
        <f>("HV689 B477 1996")</f>
        <v>HV689 B477 1996</v>
      </c>
      <c r="J238" t="str">
        <f>("0534340040")</f>
        <v>0534340040</v>
      </c>
      <c r="K238" t="str">
        <f>("1108")</f>
        <v>1108</v>
      </c>
      <c r="L238" t="str">
        <f t="shared" si="88"/>
        <v>2001/10/10 00:00:00</v>
      </c>
      <c r="M238" t="str">
        <f t="shared" si="102"/>
        <v>2018/08/11 13:34:06</v>
      </c>
      <c r="N238" t="str">
        <f>("1996")</f>
        <v>1996</v>
      </c>
      <c r="O238" t="str">
        <f t="shared" si="104"/>
        <v>4F西文書庫 4F Western Language Books</v>
      </c>
      <c r="P238" t="s">
        <v>64</v>
      </c>
      <c r="W238" t="str">
        <f t="shared" si="93"/>
        <v>美國國會圖書分類法</v>
      </c>
      <c r="Y238" t="str">
        <f>("HV689")</f>
        <v>HV689</v>
      </c>
      <c r="Z238" t="str">
        <f t="shared" si="103"/>
        <v>2018/08/11 13:34:06</v>
      </c>
      <c r="AA238" t="str">
        <f t="shared" si="89"/>
        <v>catc</v>
      </c>
      <c r="AC238" t="str">
        <f>("B477")</f>
        <v>B477</v>
      </c>
      <c r="AE238" t="str">
        <f t="shared" si="96"/>
        <v>c.1</v>
      </c>
      <c r="AF238" t="str">
        <f t="shared" si="105"/>
        <v>1.可借圖書</v>
      </c>
      <c r="AG238" t="str">
        <f t="shared" si="106"/>
        <v>在架</v>
      </c>
      <c r="AI238" t="s">
        <v>65</v>
      </c>
      <c r="AK238" t="str">
        <f t="shared" si="90"/>
        <v>一般(Normal)</v>
      </c>
      <c r="AO238" t="s">
        <v>65</v>
      </c>
      <c r="AS238" t="str">
        <f>("c1996.")</f>
        <v>c1996.</v>
      </c>
      <c r="AT238" t="str">
        <f t="shared" si="91"/>
        <v>catc</v>
      </c>
    </row>
    <row r="239" spans="1:46" x14ac:dyDescent="0.25">
      <c r="A239">
        <v>228</v>
      </c>
      <c r="B239" t="str">
        <f>("289119")</f>
        <v>289119</v>
      </c>
      <c r="C239" t="str">
        <f>("W00002264")</f>
        <v>W00002264</v>
      </c>
      <c r="D239" t="str">
        <f>("The girls' guide to power and success / ")</f>
        <v xml:space="preserve">The girls' guide to power and success / </v>
      </c>
      <c r="E239" t="str">
        <f>("Solovic, Susan Wilson. ")</f>
        <v xml:space="preserve">Solovic, Susan Wilson. </v>
      </c>
      <c r="F239" t="str">
        <f>(" AMACOM, ")</f>
        <v xml:space="preserve"> AMACOM, </v>
      </c>
      <c r="H239" t="str">
        <f t="shared" si="95"/>
        <v>圖書 book</v>
      </c>
      <c r="I239" t="str">
        <f>("HQ1421 S689 2001")</f>
        <v>HQ1421 S689 2001</v>
      </c>
      <c r="J239" t="str">
        <f>("0814405894")</f>
        <v>0814405894</v>
      </c>
      <c r="K239" t="str">
        <f>("680")</f>
        <v>680</v>
      </c>
      <c r="L239" t="str">
        <f t="shared" si="88"/>
        <v>2001/10/10 00:00:00</v>
      </c>
      <c r="M239" t="str">
        <f t="shared" si="102"/>
        <v>2018/08/11 13:34:06</v>
      </c>
      <c r="N239" t="str">
        <f>("2001")</f>
        <v>2001</v>
      </c>
      <c r="O239" t="str">
        <f t="shared" si="104"/>
        <v>4F西文書庫 4F Western Language Books</v>
      </c>
      <c r="P239" t="s">
        <v>64</v>
      </c>
      <c r="W239" t="str">
        <f t="shared" ref="W239:W270" si="107">("美國國會圖書分類法")</f>
        <v>美國國會圖書分類法</v>
      </c>
      <c r="Y239" t="str">
        <f>("HQ1421")</f>
        <v>HQ1421</v>
      </c>
      <c r="Z239" t="str">
        <f t="shared" si="103"/>
        <v>2018/08/11 13:34:06</v>
      </c>
      <c r="AA239" t="str">
        <f t="shared" si="89"/>
        <v>catc</v>
      </c>
      <c r="AC239" t="str">
        <f>("S689")</f>
        <v>S689</v>
      </c>
      <c r="AE239" t="str">
        <f t="shared" si="96"/>
        <v>c.1</v>
      </c>
      <c r="AF239" t="str">
        <f t="shared" si="105"/>
        <v>1.可借圖書</v>
      </c>
      <c r="AG239" t="str">
        <f t="shared" si="106"/>
        <v>在架</v>
      </c>
      <c r="AI239" t="s">
        <v>65</v>
      </c>
      <c r="AK239" t="str">
        <f t="shared" si="90"/>
        <v>一般(Normal)</v>
      </c>
      <c r="AO239" t="s">
        <v>65</v>
      </c>
      <c r="AS239" t="str">
        <f>("c2001. ")</f>
        <v xml:space="preserve">c2001. </v>
      </c>
      <c r="AT239" t="str">
        <f t="shared" si="91"/>
        <v>catc</v>
      </c>
    </row>
    <row r="240" spans="1:46" x14ac:dyDescent="0.25">
      <c r="A240">
        <v>229</v>
      </c>
      <c r="B240" t="str">
        <f>("289120")</f>
        <v>289120</v>
      </c>
      <c r="C240" t="str">
        <f>("W00002265")</f>
        <v>W00002265</v>
      </c>
      <c r="D240" t="str">
        <f>("Urban land economics/")</f>
        <v>Urban land economics/</v>
      </c>
      <c r="E240" t="str">
        <f>("Harvey,Jack")</f>
        <v>Harvey,Jack</v>
      </c>
      <c r="F240" t="str">
        <f>("Macmillan Press,")</f>
        <v>Macmillan Press,</v>
      </c>
      <c r="G240" t="str">
        <f>("5th ed.")</f>
        <v>5th ed.</v>
      </c>
      <c r="H240" t="str">
        <f t="shared" si="95"/>
        <v>圖書 book</v>
      </c>
      <c r="I240" t="str">
        <f>("HD598 H341 2000")</f>
        <v>HD598 H341 2000</v>
      </c>
      <c r="J240" t="str">
        <f>("0333912977")</f>
        <v>0333912977</v>
      </c>
      <c r="K240" t="str">
        <f>("960")</f>
        <v>960</v>
      </c>
      <c r="L240" t="str">
        <f t="shared" si="88"/>
        <v>2001/10/10 00:00:00</v>
      </c>
      <c r="M240" t="str">
        <f t="shared" si="102"/>
        <v>2018/08/11 13:34:06</v>
      </c>
      <c r="N240" t="str">
        <f>("2000")</f>
        <v>2000</v>
      </c>
      <c r="O240" t="str">
        <f t="shared" si="104"/>
        <v>4F西文書庫 4F Western Language Books</v>
      </c>
      <c r="P240" t="s">
        <v>64</v>
      </c>
      <c r="W240" t="str">
        <f t="shared" si="107"/>
        <v>美國國會圖書分類法</v>
      </c>
      <c r="Y240" t="str">
        <f>("HD598")</f>
        <v>HD598</v>
      </c>
      <c r="Z240" t="str">
        <f t="shared" si="103"/>
        <v>2018/08/11 13:34:06</v>
      </c>
      <c r="AA240" t="str">
        <f t="shared" si="89"/>
        <v>catc</v>
      </c>
      <c r="AC240" t="str">
        <f>("H341")</f>
        <v>H341</v>
      </c>
      <c r="AE240" t="str">
        <f t="shared" si="96"/>
        <v>c.1</v>
      </c>
      <c r="AF240" t="str">
        <f t="shared" si="105"/>
        <v>1.可借圖書</v>
      </c>
      <c r="AG240" t="str">
        <f t="shared" si="106"/>
        <v>在架</v>
      </c>
      <c r="AI240" t="s">
        <v>65</v>
      </c>
      <c r="AK240" t="str">
        <f t="shared" si="90"/>
        <v>一般(Normal)</v>
      </c>
      <c r="AO240" t="s">
        <v>65</v>
      </c>
      <c r="AS240" t="str">
        <f>("2000.")</f>
        <v>2000.</v>
      </c>
      <c r="AT240" t="str">
        <f t="shared" si="91"/>
        <v>catc</v>
      </c>
    </row>
    <row r="241" spans="1:46" x14ac:dyDescent="0.25">
      <c r="A241">
        <v>230</v>
      </c>
      <c r="B241" t="str">
        <f>("289161")</f>
        <v>289161</v>
      </c>
      <c r="C241" t="str">
        <f>("W00002266")</f>
        <v>W00002266</v>
      </c>
      <c r="D241" t="str">
        <f>("States versus markets :the emergence of a global economy/")</f>
        <v>States versus markets :the emergence of a global economy/</v>
      </c>
      <c r="E241" t="str">
        <f>("Schwartz, Herman M.,1958- ")</f>
        <v xml:space="preserve">Schwartz, Herman M.,1958- </v>
      </c>
      <c r="F241" t="str">
        <f>("St. Martin's Press,")</f>
        <v>St. Martin's Press,</v>
      </c>
      <c r="G241" t="str">
        <f>("2nd ed ")</f>
        <v xml:space="preserve">2nd ed </v>
      </c>
      <c r="H241" t="str">
        <f t="shared" si="95"/>
        <v>圖書 book</v>
      </c>
      <c r="I241" t="str">
        <f>("HF1411 S399 2000")</f>
        <v>HF1411 S399 2000</v>
      </c>
      <c r="J241" t="str">
        <f>("0333802632")</f>
        <v>0333802632</v>
      </c>
      <c r="K241" t="str">
        <f>("728")</f>
        <v>728</v>
      </c>
      <c r="L241" t="str">
        <f t="shared" si="88"/>
        <v>2001/10/10 00:00:00</v>
      </c>
      <c r="M241" t="str">
        <f>("2018/08/11 13:34:07")</f>
        <v>2018/08/11 13:34:07</v>
      </c>
      <c r="N241" t="str">
        <f>("2000")</f>
        <v>2000</v>
      </c>
      <c r="O241" t="str">
        <f t="shared" si="104"/>
        <v>4F西文書庫 4F Western Language Books</v>
      </c>
      <c r="P241" t="s">
        <v>64</v>
      </c>
      <c r="W241" t="str">
        <f t="shared" si="107"/>
        <v>美國國會圖書分類法</v>
      </c>
      <c r="Y241" t="str">
        <f>("HF1411")</f>
        <v>HF1411</v>
      </c>
      <c r="Z241" t="str">
        <f>("2018/08/11 13:34:07")</f>
        <v>2018/08/11 13:34:07</v>
      </c>
      <c r="AA241" t="str">
        <f t="shared" si="89"/>
        <v>catc</v>
      </c>
      <c r="AC241" t="str">
        <f>("S399")</f>
        <v>S399</v>
      </c>
      <c r="AE241" t="str">
        <f t="shared" si="96"/>
        <v>c.1</v>
      </c>
      <c r="AF241" t="str">
        <f t="shared" si="105"/>
        <v>1.可借圖書</v>
      </c>
      <c r="AG241" t="str">
        <f t="shared" si="106"/>
        <v>在架</v>
      </c>
      <c r="AI241" t="s">
        <v>65</v>
      </c>
      <c r="AK241" t="str">
        <f t="shared" si="90"/>
        <v>一般(Normal)</v>
      </c>
      <c r="AO241" t="s">
        <v>65</v>
      </c>
      <c r="AS241" t="str">
        <f>("2000 ")</f>
        <v xml:space="preserve">2000 </v>
      </c>
      <c r="AT241" t="str">
        <f t="shared" si="91"/>
        <v>catc</v>
      </c>
    </row>
    <row r="242" spans="1:46" x14ac:dyDescent="0.25">
      <c r="A242">
        <v>231</v>
      </c>
      <c r="B242" t="str">
        <f>("289162")</f>
        <v>289162</v>
      </c>
      <c r="C242" t="str">
        <f>("W00002267")</f>
        <v>W00002267</v>
      </c>
      <c r="D242" t="str">
        <f>("E-marketing")</f>
        <v>E-marketing</v>
      </c>
      <c r="E242" t="str">
        <f>("Collin, Simon.")</f>
        <v>Collin, Simon.</v>
      </c>
      <c r="F242" t="str">
        <f>("Wiley,")</f>
        <v>Wiley,</v>
      </c>
      <c r="H242" t="str">
        <f t="shared" si="95"/>
        <v>圖書 book</v>
      </c>
      <c r="I242" t="str">
        <f>("HF5584.32 C699 2000")</f>
        <v>HF5584.32 C699 2000</v>
      </c>
      <c r="J242" t="str">
        <f>("0471498971")</f>
        <v>0471498971</v>
      </c>
      <c r="K242" t="str">
        <f>("484")</f>
        <v>484</v>
      </c>
      <c r="L242" t="str">
        <f t="shared" si="88"/>
        <v>2001/10/10 00:00:00</v>
      </c>
      <c r="M242" t="str">
        <f>("2018/08/11 13:34:07")</f>
        <v>2018/08/11 13:34:07</v>
      </c>
      <c r="N242" t="str">
        <f>("2000")</f>
        <v>2000</v>
      </c>
      <c r="O242" t="str">
        <f t="shared" si="104"/>
        <v>4F西文書庫 4F Western Language Books</v>
      </c>
      <c r="P242" t="s">
        <v>64</v>
      </c>
      <c r="W242" t="str">
        <f t="shared" si="107"/>
        <v>美國國會圖書分類法</v>
      </c>
      <c r="Y242" t="str">
        <f>("HF5584.32")</f>
        <v>HF5584.32</v>
      </c>
      <c r="Z242" t="str">
        <f>("2018/08/11 13:34:07")</f>
        <v>2018/08/11 13:34:07</v>
      </c>
      <c r="AA242" t="str">
        <f t="shared" si="89"/>
        <v>catc</v>
      </c>
      <c r="AC242" t="str">
        <f>("C699")</f>
        <v>C699</v>
      </c>
      <c r="AE242" t="str">
        <f t="shared" si="96"/>
        <v>c.1</v>
      </c>
      <c r="AF242" t="str">
        <f t="shared" si="105"/>
        <v>1.可借圖書</v>
      </c>
      <c r="AG242" t="str">
        <f t="shared" si="106"/>
        <v>在架</v>
      </c>
      <c r="AI242" t="s">
        <v>65</v>
      </c>
      <c r="AK242" t="str">
        <f t="shared" si="90"/>
        <v>一般(Normal)</v>
      </c>
      <c r="AO242" t="s">
        <v>65</v>
      </c>
      <c r="AS242" t="str">
        <f>("2000. ")</f>
        <v xml:space="preserve">2000. </v>
      </c>
      <c r="AT242" t="str">
        <f t="shared" si="91"/>
        <v>catc</v>
      </c>
    </row>
    <row r="243" spans="1:46" x14ac:dyDescent="0.25">
      <c r="A243">
        <v>232</v>
      </c>
      <c r="B243" t="str">
        <f>("288137")</f>
        <v>288137</v>
      </c>
      <c r="C243" t="str">
        <f>("W00002268")</f>
        <v>W00002268</v>
      </c>
      <c r="D243" t="str">
        <f>("Prospective financial statements analysis /")</f>
        <v>Prospective financial statements analysis /</v>
      </c>
      <c r="E243" t="str">
        <f>("Kopczynski, Frank J ")</f>
        <v xml:space="preserve">Kopczynski, Frank J </v>
      </c>
      <c r="F243" t="str">
        <f>("Wiley,")</f>
        <v>Wiley,</v>
      </c>
      <c r="H243" t="str">
        <f t="shared" si="95"/>
        <v>圖書 book</v>
      </c>
      <c r="I243" t="str">
        <f>("HF5681.B2 K83 1996")</f>
        <v>HF5681.B2 K83 1996</v>
      </c>
      <c r="J243" t="str">
        <f>("0471383368")</f>
        <v>0471383368</v>
      </c>
      <c r="K243" t="str">
        <f>("912")</f>
        <v>912</v>
      </c>
      <c r="L243" t="str">
        <f t="shared" si="88"/>
        <v>2001/10/10 00:00:00</v>
      </c>
      <c r="M243" t="str">
        <f>("2018/08/11 13:32:28")</f>
        <v>2018/08/11 13:32:28</v>
      </c>
      <c r="N243" t="str">
        <f>("1996")</f>
        <v>1996</v>
      </c>
      <c r="O243" t="str">
        <f t="shared" si="104"/>
        <v>4F西文書庫 4F Western Language Books</v>
      </c>
      <c r="P243" t="s">
        <v>64</v>
      </c>
      <c r="Q243" t="str">
        <f>("磁碟片1片")</f>
        <v>磁碟片1片</v>
      </c>
      <c r="S243" t="str">
        <f>("xx, 279 p. ;")</f>
        <v>xx, 279 p. ;</v>
      </c>
      <c r="U243" t="str">
        <f>("25 cm. + 1 computer disk (3 1/2in.) ")</f>
        <v xml:space="preserve">25 cm. + 1 computer disk (3 1/2in.) </v>
      </c>
      <c r="W243" t="str">
        <f t="shared" si="107"/>
        <v>美國國會圖書分類法</v>
      </c>
      <c r="Y243" t="str">
        <f>("HF5681.B2")</f>
        <v>HF5681.B2</v>
      </c>
      <c r="Z243" t="str">
        <f>("2018/08/11 13:32:28")</f>
        <v>2018/08/11 13:32:28</v>
      </c>
      <c r="AA243" t="str">
        <f t="shared" si="89"/>
        <v>catc</v>
      </c>
      <c r="AC243" t="str">
        <f>("K83")</f>
        <v>K83</v>
      </c>
      <c r="AE243" t="str">
        <f t="shared" si="96"/>
        <v>c.1</v>
      </c>
      <c r="AF243" t="str">
        <f t="shared" si="105"/>
        <v>1.可借圖書</v>
      </c>
      <c r="AG243" t="str">
        <f t="shared" si="106"/>
        <v>在架</v>
      </c>
      <c r="AI243" t="s">
        <v>65</v>
      </c>
      <c r="AK243" t="str">
        <f t="shared" si="90"/>
        <v>一般(Normal)</v>
      </c>
      <c r="AO243" t="s">
        <v>65</v>
      </c>
      <c r="AS243" t="str">
        <f>("c1996 ")</f>
        <v xml:space="preserve">c1996 </v>
      </c>
      <c r="AT243" t="str">
        <f t="shared" si="91"/>
        <v>catc</v>
      </c>
    </row>
    <row r="244" spans="1:46" x14ac:dyDescent="0.25">
      <c r="A244">
        <v>233</v>
      </c>
      <c r="B244" t="str">
        <f>("289146")</f>
        <v>289146</v>
      </c>
      <c r="C244" t="str">
        <f>("W00002269")</f>
        <v>W00002269</v>
      </c>
      <c r="D244" t="str">
        <f>("The clinical encounter :a guide to the medical interview and case presentation /")</f>
        <v>The clinical encounter :a guide to the medical interview and case presentation /</v>
      </c>
      <c r="E244" t="str">
        <f>("Billings, J. Andrew ")</f>
        <v xml:space="preserve">Billings, J. Andrew </v>
      </c>
      <c r="F244" t="str">
        <f>("Mosby,")</f>
        <v>Mosby,</v>
      </c>
      <c r="G244" t="str">
        <f>("2nd ed ")</f>
        <v xml:space="preserve">2nd ed </v>
      </c>
      <c r="H244" t="str">
        <f t="shared" si="95"/>
        <v>圖書 book</v>
      </c>
      <c r="I244" t="str">
        <f>("RC65 B598 1998")</f>
        <v>RC65 B598 1998</v>
      </c>
      <c r="J244" t="str">
        <f>("0815113749")</f>
        <v>0815113749</v>
      </c>
      <c r="K244" t="str">
        <f>("816")</f>
        <v>816</v>
      </c>
      <c r="L244" t="str">
        <f t="shared" si="88"/>
        <v>2001/10/10 00:00:00</v>
      </c>
      <c r="M244" t="str">
        <f>("2018/08/11 13:34:07")</f>
        <v>2018/08/11 13:34:07</v>
      </c>
      <c r="N244" t="str">
        <f>("1998")</f>
        <v>1998</v>
      </c>
      <c r="O244" t="str">
        <f t="shared" si="104"/>
        <v>4F西文書庫 4F Western Language Books</v>
      </c>
      <c r="P244" t="s">
        <v>64</v>
      </c>
      <c r="W244" t="str">
        <f t="shared" si="107"/>
        <v>美國國會圖書分類法</v>
      </c>
      <c r="Y244" t="str">
        <f>("RC65")</f>
        <v>RC65</v>
      </c>
      <c r="Z244" t="str">
        <f>("2018/08/11 13:34:07")</f>
        <v>2018/08/11 13:34:07</v>
      </c>
      <c r="AA244" t="str">
        <f t="shared" si="89"/>
        <v>catc</v>
      </c>
      <c r="AC244" t="str">
        <f>("B598")</f>
        <v>B598</v>
      </c>
      <c r="AE244" t="str">
        <f t="shared" si="96"/>
        <v>c.1</v>
      </c>
      <c r="AF244" t="str">
        <f t="shared" si="105"/>
        <v>1.可借圖書</v>
      </c>
      <c r="AG244" t="str">
        <f t="shared" si="106"/>
        <v>在架</v>
      </c>
      <c r="AI244" t="s">
        <v>65</v>
      </c>
      <c r="AK244" t="str">
        <f t="shared" si="90"/>
        <v>一般(Normal)</v>
      </c>
      <c r="AO244" t="s">
        <v>65</v>
      </c>
      <c r="AS244" t="str">
        <f>("c1999 ")</f>
        <v xml:space="preserve">c1999 </v>
      </c>
      <c r="AT244" t="str">
        <f t="shared" si="91"/>
        <v>catc</v>
      </c>
    </row>
    <row r="245" spans="1:46" x14ac:dyDescent="0.25">
      <c r="A245">
        <v>234</v>
      </c>
      <c r="B245" t="str">
        <f>("289147")</f>
        <v>289147</v>
      </c>
      <c r="C245" t="str">
        <f>("W00002270")</f>
        <v>W00002270</v>
      </c>
      <c r="D245" t="str">
        <f>("The relationship-based enterprise :powering business success through customer relationship management /")</f>
        <v>The relationship-based enterprise :powering business success through customer relationship management /</v>
      </c>
      <c r="E245" t="str">
        <f>("McKenzie, Ray,1946- ")</f>
        <v xml:space="preserve">McKenzie, Ray,1946- </v>
      </c>
      <c r="F245" t="str">
        <f>("McGraw-Hill Ryerson,")</f>
        <v>McGraw-Hill Ryerson,</v>
      </c>
      <c r="H245" t="str">
        <f t="shared" si="95"/>
        <v>圖書 book</v>
      </c>
      <c r="I245" t="str">
        <f>("HF5415.5 M111 2001")</f>
        <v>HF5415.5 M111 2001</v>
      </c>
      <c r="J245" t="str">
        <f>("0070860815")</f>
        <v>0070860815</v>
      </c>
      <c r="K245" t="str">
        <f>("740")</f>
        <v>740</v>
      </c>
      <c r="L245" t="str">
        <f t="shared" si="88"/>
        <v>2001/10/10 00:00:00</v>
      </c>
      <c r="M245" t="str">
        <f>("2018/08/11 13:34:07")</f>
        <v>2018/08/11 13:34:07</v>
      </c>
      <c r="N245" t="str">
        <f>("2001")</f>
        <v>2001</v>
      </c>
      <c r="O245" t="str">
        <f t="shared" si="104"/>
        <v>4F西文書庫 4F Western Language Books</v>
      </c>
      <c r="P245" t="s">
        <v>64</v>
      </c>
      <c r="W245" t="str">
        <f t="shared" si="107"/>
        <v>美國國會圖書分類法</v>
      </c>
      <c r="Y245" t="str">
        <f>("HF5415.5")</f>
        <v>HF5415.5</v>
      </c>
      <c r="Z245" t="str">
        <f>("2018/08/11 13:34:07")</f>
        <v>2018/08/11 13:34:07</v>
      </c>
      <c r="AA245" t="str">
        <f t="shared" si="89"/>
        <v>catc</v>
      </c>
      <c r="AC245" t="str">
        <f>("M111")</f>
        <v>M111</v>
      </c>
      <c r="AE245" t="str">
        <f t="shared" si="96"/>
        <v>c.1</v>
      </c>
      <c r="AF245" t="str">
        <f t="shared" si="105"/>
        <v>1.可借圖書</v>
      </c>
      <c r="AG245" t="str">
        <f t="shared" si="106"/>
        <v>在架</v>
      </c>
      <c r="AI245" t="s">
        <v>65</v>
      </c>
      <c r="AK245" t="str">
        <f t="shared" si="90"/>
        <v>一般(Normal)</v>
      </c>
      <c r="AO245" t="s">
        <v>65</v>
      </c>
      <c r="AS245" t="str">
        <f>("c2001 ")</f>
        <v xml:space="preserve">c2001 </v>
      </c>
      <c r="AT245" t="str">
        <f t="shared" si="91"/>
        <v>catc</v>
      </c>
    </row>
    <row r="246" spans="1:46" x14ac:dyDescent="0.25">
      <c r="A246">
        <v>235</v>
      </c>
      <c r="B246" t="str">
        <f>("289148")</f>
        <v>289148</v>
      </c>
      <c r="C246" t="str">
        <f>("W00002271")</f>
        <v>W00002271</v>
      </c>
      <c r="D246" t="str">
        <f>("Netslaves :true tales of working the Web /")</f>
        <v>Netslaves :true tales of working the Web /</v>
      </c>
      <c r="E246" t="str">
        <f>("Lessard, Bill ")</f>
        <v xml:space="preserve">Lessard, Bill </v>
      </c>
      <c r="F246" t="str">
        <f>("McGraw-Hill,")</f>
        <v>McGraw-Hill,</v>
      </c>
      <c r="H246" t="str">
        <f t="shared" si="95"/>
        <v>圖書 book</v>
      </c>
      <c r="I246" t="str">
        <f>("HM851 L638 2000")</f>
        <v>HM851 L638 2000</v>
      </c>
      <c r="J246" t="str">
        <f>("0071364803")</f>
        <v>0071364803</v>
      </c>
      <c r="K246" t="str">
        <f>("376")</f>
        <v>376</v>
      </c>
      <c r="L246" t="str">
        <f t="shared" si="88"/>
        <v>2001/10/10 00:00:00</v>
      </c>
      <c r="M246" t="str">
        <f>("2018/08/11 13:34:07")</f>
        <v>2018/08/11 13:34:07</v>
      </c>
      <c r="N246" t="str">
        <f>("2000")</f>
        <v>2000</v>
      </c>
      <c r="O246" t="str">
        <f t="shared" si="104"/>
        <v>4F西文書庫 4F Western Language Books</v>
      </c>
      <c r="P246" t="s">
        <v>64</v>
      </c>
      <c r="W246" t="str">
        <f t="shared" si="107"/>
        <v>美國國會圖書分類法</v>
      </c>
      <c r="Y246" t="str">
        <f>("HM851")</f>
        <v>HM851</v>
      </c>
      <c r="Z246" t="str">
        <f>("2018/08/11 13:34:07")</f>
        <v>2018/08/11 13:34:07</v>
      </c>
      <c r="AA246" t="str">
        <f t="shared" si="89"/>
        <v>catc</v>
      </c>
      <c r="AC246" t="str">
        <f>("L638")</f>
        <v>L638</v>
      </c>
      <c r="AE246" t="str">
        <f t="shared" si="96"/>
        <v>c.1</v>
      </c>
      <c r="AF246" t="str">
        <f t="shared" si="105"/>
        <v>1.可借圖書</v>
      </c>
      <c r="AG246" t="str">
        <f t="shared" si="106"/>
        <v>在架</v>
      </c>
      <c r="AI246" t="s">
        <v>65</v>
      </c>
      <c r="AK246" t="str">
        <f t="shared" si="90"/>
        <v>一般(Normal)</v>
      </c>
      <c r="AO246" t="s">
        <v>65</v>
      </c>
      <c r="AS246" t="str">
        <f>("c2000 ")</f>
        <v xml:space="preserve">c2000 </v>
      </c>
      <c r="AT246" t="str">
        <f t="shared" si="91"/>
        <v>catc</v>
      </c>
    </row>
    <row r="247" spans="1:46" x14ac:dyDescent="0.25">
      <c r="A247">
        <v>236</v>
      </c>
      <c r="B247" t="str">
        <f>("289149")</f>
        <v>289149</v>
      </c>
      <c r="C247" t="str">
        <f>("W00002272")</f>
        <v>W00002272</v>
      </c>
      <c r="D247" t="str">
        <f>("Harvard business review interviews with CEOs. ")</f>
        <v xml:space="preserve">Harvard business review interviews with CEOs. </v>
      </c>
      <c r="E247" t="str">
        <f>("")</f>
        <v/>
      </c>
      <c r="F247" t="str">
        <f>("Harvard Business School Press,")</f>
        <v>Harvard Business School Press,</v>
      </c>
      <c r="H247" t="str">
        <f t="shared" si="95"/>
        <v>圖書 book</v>
      </c>
      <c r="I247" t="str">
        <f>("HD38.2 H341 2000")</f>
        <v>HD38.2 H341 2000</v>
      </c>
      <c r="J247" t="str">
        <f>("1578513294")</f>
        <v>1578513294</v>
      </c>
      <c r="K247" t="str">
        <f>("592")</f>
        <v>592</v>
      </c>
      <c r="L247" t="str">
        <f t="shared" si="88"/>
        <v>2001/10/10 00:00:00</v>
      </c>
      <c r="M247" t="str">
        <f>("2018/08/11 13:34:07")</f>
        <v>2018/08/11 13:34:07</v>
      </c>
      <c r="N247" t="str">
        <f>("2000")</f>
        <v>2000</v>
      </c>
      <c r="O247" t="str">
        <f t="shared" si="104"/>
        <v>4F西文書庫 4F Western Language Books</v>
      </c>
      <c r="P247" t="s">
        <v>64</v>
      </c>
      <c r="W247" t="str">
        <f t="shared" si="107"/>
        <v>美國國會圖書分類法</v>
      </c>
      <c r="Y247" t="str">
        <f>("HD38.2")</f>
        <v>HD38.2</v>
      </c>
      <c r="Z247" t="str">
        <f>("2018/08/11 13:34:07")</f>
        <v>2018/08/11 13:34:07</v>
      </c>
      <c r="AA247" t="str">
        <f t="shared" si="89"/>
        <v>catc</v>
      </c>
      <c r="AC247" t="str">
        <f>("H341")</f>
        <v>H341</v>
      </c>
      <c r="AE247" t="str">
        <f t="shared" ref="AE247:AE274" si="108">("c.1")</f>
        <v>c.1</v>
      </c>
      <c r="AF247" t="str">
        <f t="shared" si="105"/>
        <v>1.可借圖書</v>
      </c>
      <c r="AG247" t="str">
        <f t="shared" si="106"/>
        <v>在架</v>
      </c>
      <c r="AI247" t="s">
        <v>65</v>
      </c>
      <c r="AK247" t="str">
        <f t="shared" si="90"/>
        <v>一般(Normal)</v>
      </c>
      <c r="AO247" t="s">
        <v>65</v>
      </c>
      <c r="AS247" t="str">
        <f>("c2000. ")</f>
        <v xml:space="preserve">c2000. </v>
      </c>
      <c r="AT247" t="str">
        <f t="shared" si="91"/>
        <v>catc</v>
      </c>
    </row>
    <row r="248" spans="1:46" x14ac:dyDescent="0.25">
      <c r="A248">
        <v>237</v>
      </c>
      <c r="B248" t="str">
        <f>("288145")</f>
        <v>288145</v>
      </c>
      <c r="C248" t="str">
        <f>("W00002273")</f>
        <v>W00002273</v>
      </c>
      <c r="D248" t="str">
        <f>("Leading the revolution /")</f>
        <v>Leading the revolution /</v>
      </c>
      <c r="E248" t="str">
        <f>("Hamel, Gary ")</f>
        <v xml:space="preserve">Hamel, Gary </v>
      </c>
      <c r="F248" t="str">
        <f>("Harvard Business School Press,")</f>
        <v>Harvard Business School Press,</v>
      </c>
      <c r="H248" t="str">
        <f t="shared" si="95"/>
        <v>圖書 book</v>
      </c>
      <c r="I248" t="str">
        <f>("HD53 H213 2000")</f>
        <v>HD53 H213 2000</v>
      </c>
      <c r="J248" t="str">
        <f>("1578511895")</f>
        <v>1578511895</v>
      </c>
      <c r="K248" t="str">
        <f>("884")</f>
        <v>884</v>
      </c>
      <c r="L248" t="str">
        <f t="shared" si="88"/>
        <v>2001/10/10 00:00:00</v>
      </c>
      <c r="M248" t="str">
        <f>("2018/08/11 13:32:29")</f>
        <v>2018/08/11 13:32:29</v>
      </c>
      <c r="N248" t="str">
        <f>("2000")</f>
        <v>2000</v>
      </c>
      <c r="O248" t="str">
        <f t="shared" si="104"/>
        <v>4F西文書庫 4F Western Language Books</v>
      </c>
      <c r="P248" t="s">
        <v>64</v>
      </c>
      <c r="W248" t="str">
        <f t="shared" si="107"/>
        <v>美國國會圖書分類法</v>
      </c>
      <c r="Y248" t="str">
        <f>("HD53")</f>
        <v>HD53</v>
      </c>
      <c r="Z248" t="str">
        <f>("2018/08/11 13:32:29")</f>
        <v>2018/08/11 13:32:29</v>
      </c>
      <c r="AA248" t="str">
        <f t="shared" si="89"/>
        <v>catc</v>
      </c>
      <c r="AC248" t="str">
        <f>("H213")</f>
        <v>H213</v>
      </c>
      <c r="AE248" t="str">
        <f t="shared" si="108"/>
        <v>c.1</v>
      </c>
      <c r="AF248" t="str">
        <f t="shared" si="105"/>
        <v>1.可借圖書</v>
      </c>
      <c r="AG248" t="str">
        <f t="shared" si="106"/>
        <v>在架</v>
      </c>
      <c r="AI248" t="s">
        <v>65</v>
      </c>
      <c r="AK248" t="str">
        <f t="shared" si="90"/>
        <v>一般(Normal)</v>
      </c>
      <c r="AO248" t="s">
        <v>65</v>
      </c>
      <c r="AS248" t="str">
        <f>("c2000 ")</f>
        <v xml:space="preserve">c2000 </v>
      </c>
      <c r="AT248" t="str">
        <f t="shared" si="91"/>
        <v>catc</v>
      </c>
    </row>
    <row r="249" spans="1:46" x14ac:dyDescent="0.25">
      <c r="A249">
        <v>238</v>
      </c>
      <c r="B249" t="str">
        <f>("287483")</f>
        <v>287483</v>
      </c>
      <c r="C249" t="str">
        <f>("W00002274")</f>
        <v>W00002274</v>
      </c>
      <c r="D249" t="str">
        <f>("The customer-centered enterprise :how IBM and other world-class companies achieve extraordinary results by putting customers first /")</f>
        <v>The customer-centered enterprise :how IBM and other world-class companies achieve extraordinary results by putting customers first /</v>
      </c>
      <c r="E249" t="str">
        <f>("Thompson, Harvey.")</f>
        <v>Thompson, Harvey.</v>
      </c>
      <c r="F249" t="str">
        <f>("McGraw-Hill,")</f>
        <v>McGraw-Hill,</v>
      </c>
      <c r="H249" t="str">
        <f t="shared" si="95"/>
        <v>圖書 book</v>
      </c>
      <c r="I249" t="str">
        <f>("HF5415.5 T468 2000")</f>
        <v>HF5415.5 T468 2000</v>
      </c>
      <c r="J249" t="str">
        <f>("0071352104")</f>
        <v>0071352104</v>
      </c>
      <c r="K249" t="str">
        <f>("864")</f>
        <v>864</v>
      </c>
      <c r="L249" t="str">
        <f t="shared" si="88"/>
        <v>2001/10/10 00:00:00</v>
      </c>
      <c r="M249" t="str">
        <f>("2018/08/11 13:31:19")</f>
        <v>2018/08/11 13:31:19</v>
      </c>
      <c r="N249" t="str">
        <f>("2000")</f>
        <v>2000</v>
      </c>
      <c r="O249" t="str">
        <f t="shared" si="104"/>
        <v>4F西文書庫 4F Western Language Books</v>
      </c>
      <c r="P249" t="s">
        <v>64</v>
      </c>
      <c r="S249" t="str">
        <f>("xv, 245 p. :")</f>
        <v>xv, 245 p. :</v>
      </c>
      <c r="T249" t="str">
        <f>("ill. ;")</f>
        <v>ill. ;</v>
      </c>
      <c r="U249" t="str">
        <f>("24 cm.")</f>
        <v>24 cm.</v>
      </c>
      <c r="W249" t="str">
        <f t="shared" si="107"/>
        <v>美國國會圖書分類法</v>
      </c>
      <c r="Y249" t="str">
        <f>("HF5415.5")</f>
        <v>HF5415.5</v>
      </c>
      <c r="Z249" t="str">
        <f>("2018/08/11 13:31:19")</f>
        <v>2018/08/11 13:31:19</v>
      </c>
      <c r="AA249" t="str">
        <f t="shared" si="89"/>
        <v>catc</v>
      </c>
      <c r="AC249" t="str">
        <f>("T468")</f>
        <v>T468</v>
      </c>
      <c r="AE249" t="str">
        <f t="shared" si="108"/>
        <v>c.1</v>
      </c>
      <c r="AF249" t="str">
        <f t="shared" si="105"/>
        <v>1.可借圖書</v>
      </c>
      <c r="AG249" t="str">
        <f t="shared" si="106"/>
        <v>在架</v>
      </c>
      <c r="AI249" t="s">
        <v>65</v>
      </c>
      <c r="AK249" t="str">
        <f t="shared" si="90"/>
        <v>一般(Normal)</v>
      </c>
      <c r="AO249" t="s">
        <v>65</v>
      </c>
      <c r="AS249" t="str">
        <f>("c2000.")</f>
        <v>c2000.</v>
      </c>
      <c r="AT249" t="str">
        <f t="shared" si="91"/>
        <v>catc</v>
      </c>
    </row>
    <row r="250" spans="1:46" x14ac:dyDescent="0.25">
      <c r="A250">
        <v>239</v>
      </c>
      <c r="B250" t="str">
        <f>("289163")</f>
        <v>289163</v>
      </c>
      <c r="C250" t="str">
        <f>("W00002275")</f>
        <v>W00002275</v>
      </c>
      <c r="D250" t="str">
        <f>("Mission-based management :an organizational development workbook /")</f>
        <v>Mission-based management :an organizational development workbook /</v>
      </c>
      <c r="E250" t="str">
        <f>("Brinckerhoff,Peter C. ")</f>
        <v xml:space="preserve">Brinckerhoff,Peter C. </v>
      </c>
      <c r="F250" t="str">
        <f>("Wiley,")</f>
        <v>Wiley,</v>
      </c>
      <c r="G250" t="str">
        <f>("2nd ed. ")</f>
        <v xml:space="preserve">2nd ed. </v>
      </c>
      <c r="H250" t="str">
        <f t="shared" si="95"/>
        <v>圖書 book</v>
      </c>
      <c r="I250" t="str">
        <f>("HF5548.2 B858 2001")</f>
        <v>HF5548.2 B858 2001</v>
      </c>
      <c r="J250" t="str">
        <f>("0471390143")</f>
        <v>0471390143</v>
      </c>
      <c r="K250" t="str">
        <f>("608")</f>
        <v>608</v>
      </c>
      <c r="L250" t="str">
        <f t="shared" si="88"/>
        <v>2001/10/10 00:00:00</v>
      </c>
      <c r="M250" t="str">
        <f>("2018/08/11 13:34:07")</f>
        <v>2018/08/11 13:34:07</v>
      </c>
      <c r="N250" t="str">
        <f>("2001")</f>
        <v>2001</v>
      </c>
      <c r="O250" t="str">
        <f t="shared" si="104"/>
        <v>4F西文書庫 4F Western Language Books</v>
      </c>
      <c r="P250" t="s">
        <v>64</v>
      </c>
      <c r="W250" t="str">
        <f t="shared" si="107"/>
        <v>美國國會圖書分類法</v>
      </c>
      <c r="Y250" t="str">
        <f>("HF5548.2")</f>
        <v>HF5548.2</v>
      </c>
      <c r="Z250" t="str">
        <f>("2018/08/11 13:34:07")</f>
        <v>2018/08/11 13:34:07</v>
      </c>
      <c r="AA250" t="str">
        <f t="shared" si="89"/>
        <v>catc</v>
      </c>
      <c r="AC250" t="str">
        <f>("B858")</f>
        <v>B858</v>
      </c>
      <c r="AE250" t="str">
        <f t="shared" si="108"/>
        <v>c.1</v>
      </c>
      <c r="AF250" t="str">
        <f t="shared" si="105"/>
        <v>1.可借圖書</v>
      </c>
      <c r="AG250" t="str">
        <f t="shared" si="106"/>
        <v>在架</v>
      </c>
      <c r="AI250" t="s">
        <v>65</v>
      </c>
      <c r="AK250" t="str">
        <f t="shared" si="90"/>
        <v>一般(Normal)</v>
      </c>
      <c r="AO250" t="s">
        <v>65</v>
      </c>
      <c r="AS250" t="str">
        <f>("c2001. ")</f>
        <v xml:space="preserve">c2001. </v>
      </c>
      <c r="AT250" t="str">
        <f t="shared" si="91"/>
        <v>catc</v>
      </c>
    </row>
    <row r="251" spans="1:46" x14ac:dyDescent="0.25">
      <c r="A251">
        <v>240</v>
      </c>
      <c r="B251" t="str">
        <f>("289164")</f>
        <v>289164</v>
      </c>
      <c r="C251" t="str">
        <f>("W00002276")</f>
        <v>W00002276</v>
      </c>
      <c r="D251" t="str">
        <f>("Running a public relations department/ ")</f>
        <v xml:space="preserve">Running a public relations department/ </v>
      </c>
      <c r="E251" t="str">
        <f>("Beard,Mike")</f>
        <v>Beard,Mike</v>
      </c>
      <c r="F251" t="str">
        <f>("Kogan Page, ")</f>
        <v xml:space="preserve">Kogan Page, </v>
      </c>
      <c r="G251" t="str">
        <f>("2nd ed.")</f>
        <v>2nd ed.</v>
      </c>
      <c r="H251" t="str">
        <f t="shared" si="95"/>
        <v>圖書 book</v>
      </c>
      <c r="I251" t="str">
        <f>("HD59 B68 2001")</f>
        <v>HD59 B68 2001</v>
      </c>
      <c r="J251" t="str">
        <f>("0749434244")</f>
        <v>0749434244</v>
      </c>
      <c r="K251" t="str">
        <f>("624")</f>
        <v>624</v>
      </c>
      <c r="L251" t="str">
        <f t="shared" si="88"/>
        <v>2001/10/10 00:00:00</v>
      </c>
      <c r="M251" t="str">
        <f>("2018/08/11 13:34:07")</f>
        <v>2018/08/11 13:34:07</v>
      </c>
      <c r="N251" t="str">
        <f>("2001")</f>
        <v>2001</v>
      </c>
      <c r="O251" t="str">
        <f t="shared" si="104"/>
        <v>4F西文書庫 4F Western Language Books</v>
      </c>
      <c r="P251" t="s">
        <v>64</v>
      </c>
      <c r="W251" t="str">
        <f t="shared" si="107"/>
        <v>美國國會圖書分類法</v>
      </c>
      <c r="Y251" t="str">
        <f>("HD59")</f>
        <v>HD59</v>
      </c>
      <c r="Z251" t="str">
        <f>("2018/08/11 13:34:07")</f>
        <v>2018/08/11 13:34:07</v>
      </c>
      <c r="AA251" t="str">
        <f t="shared" si="89"/>
        <v>catc</v>
      </c>
      <c r="AC251" t="str">
        <f>("B68")</f>
        <v>B68</v>
      </c>
      <c r="AE251" t="str">
        <f t="shared" si="108"/>
        <v>c.1</v>
      </c>
      <c r="AF251" t="str">
        <f t="shared" si="105"/>
        <v>1.可借圖書</v>
      </c>
      <c r="AG251" t="str">
        <f t="shared" si="106"/>
        <v>在架</v>
      </c>
      <c r="AI251" t="s">
        <v>65</v>
      </c>
      <c r="AK251" t="str">
        <f t="shared" si="90"/>
        <v>一般(Normal)</v>
      </c>
      <c r="AO251" t="s">
        <v>65</v>
      </c>
      <c r="AS251" t="str">
        <f>("2001.")</f>
        <v>2001.</v>
      </c>
      <c r="AT251" t="str">
        <f t="shared" si="91"/>
        <v>catc</v>
      </c>
    </row>
    <row r="252" spans="1:46" x14ac:dyDescent="0.25">
      <c r="A252">
        <v>241</v>
      </c>
      <c r="B252" t="str">
        <f>("289165")</f>
        <v>289165</v>
      </c>
      <c r="C252" t="str">
        <f>("W00002277")</f>
        <v>W00002277</v>
      </c>
      <c r="D252" t="str">
        <f>("Finding &amp; keeping great employees /")</f>
        <v>Finding &amp; keeping great employees /</v>
      </c>
      <c r="E252" t="str">
        <f>("Harris, Jim,1953- ")</f>
        <v xml:space="preserve">Harris, Jim,1953- </v>
      </c>
      <c r="F252" t="str">
        <f>("AMACOM,")</f>
        <v>AMACOM,</v>
      </c>
      <c r="H252" t="str">
        <f t="shared" si="95"/>
        <v>圖書 book</v>
      </c>
      <c r="I252" t="str">
        <f>("HF5549.5.R44 H313 1999")</f>
        <v>HF5549.5.R44 H313 1999</v>
      </c>
      <c r="J252" t="str">
        <f>("0814404545")</f>
        <v>0814404545</v>
      </c>
      <c r="K252" t="str">
        <f>("896")</f>
        <v>896</v>
      </c>
      <c r="L252" t="str">
        <f t="shared" si="88"/>
        <v>2001/10/10 00:00:00</v>
      </c>
      <c r="M252" t="str">
        <f t="shared" ref="M252:M262" si="109">("2018/08/11 13:34:08")</f>
        <v>2018/08/11 13:34:08</v>
      </c>
      <c r="N252" t="str">
        <f>("1999")</f>
        <v>1999</v>
      </c>
      <c r="O252" t="str">
        <f t="shared" si="104"/>
        <v>4F西文書庫 4F Western Language Books</v>
      </c>
      <c r="P252" t="s">
        <v>64</v>
      </c>
      <c r="W252" t="str">
        <f t="shared" si="107"/>
        <v>美國國會圖書分類法</v>
      </c>
      <c r="Y252" t="str">
        <f>("HF5549.5.R44")</f>
        <v>HF5549.5.R44</v>
      </c>
      <c r="Z252" t="str">
        <f>("2018/08/11 13:34:07")</f>
        <v>2018/08/11 13:34:07</v>
      </c>
      <c r="AA252" t="str">
        <f t="shared" si="89"/>
        <v>catc</v>
      </c>
      <c r="AC252" t="str">
        <f>("H313")</f>
        <v>H313</v>
      </c>
      <c r="AE252" t="str">
        <f t="shared" si="108"/>
        <v>c.1</v>
      </c>
      <c r="AF252" t="str">
        <f t="shared" si="105"/>
        <v>1.可借圖書</v>
      </c>
      <c r="AG252" t="str">
        <f t="shared" si="106"/>
        <v>在架</v>
      </c>
      <c r="AI252" t="s">
        <v>65</v>
      </c>
      <c r="AK252" t="str">
        <f t="shared" si="90"/>
        <v>一般(Normal)</v>
      </c>
      <c r="AO252" t="s">
        <v>65</v>
      </c>
      <c r="AS252" t="str">
        <f>("c1999. ")</f>
        <v xml:space="preserve">c1999. </v>
      </c>
      <c r="AT252" t="str">
        <f t="shared" si="91"/>
        <v>catc</v>
      </c>
    </row>
    <row r="253" spans="1:46" x14ac:dyDescent="0.25">
      <c r="A253">
        <v>242</v>
      </c>
      <c r="B253" t="str">
        <f>("289166")</f>
        <v>289166</v>
      </c>
      <c r="C253" t="str">
        <f>("W00002278")</f>
        <v>W00002278</v>
      </c>
      <c r="D253" t="str">
        <f>("The future of leadership :today's top leadership thinkers speak to tomorrow's leaders / ")</f>
        <v xml:space="preserve">The future of leadership :today's top leadership thinkers speak to tomorrow's leaders / </v>
      </c>
      <c r="E253" t="str">
        <f>("Bennis, Warren G. ")</f>
        <v xml:space="preserve">Bennis, Warren G. </v>
      </c>
      <c r="F253" t="str">
        <f>("Jossey-Bass,")</f>
        <v>Jossey-Bass,</v>
      </c>
      <c r="H253" t="str">
        <f t="shared" si="95"/>
        <v>圖書 book</v>
      </c>
      <c r="I253" t="str">
        <f>("HD57.7 B469 2001")</f>
        <v>HD57.7 B469 2001</v>
      </c>
      <c r="J253" t="str">
        <f>("0787955671")</f>
        <v>0787955671</v>
      </c>
      <c r="K253" t="str">
        <f>("820")</f>
        <v>820</v>
      </c>
      <c r="L253" t="str">
        <f t="shared" si="88"/>
        <v>2001/10/10 00:00:00</v>
      </c>
      <c r="M253" t="str">
        <f t="shared" si="109"/>
        <v>2018/08/11 13:34:08</v>
      </c>
      <c r="N253" t="str">
        <f>("2001")</f>
        <v>2001</v>
      </c>
      <c r="O253" t="str">
        <f t="shared" si="104"/>
        <v>4F西文書庫 4F Western Language Books</v>
      </c>
      <c r="P253" t="s">
        <v>64</v>
      </c>
      <c r="W253" t="str">
        <f t="shared" si="107"/>
        <v>美國國會圖書分類法</v>
      </c>
      <c r="Y253" t="str">
        <f>("HD57.7")</f>
        <v>HD57.7</v>
      </c>
      <c r="Z253" t="str">
        <f t="shared" ref="Z253:Z262" si="110">("2018/08/11 13:34:08")</f>
        <v>2018/08/11 13:34:08</v>
      </c>
      <c r="AA253" t="str">
        <f t="shared" si="89"/>
        <v>catc</v>
      </c>
      <c r="AC253" t="str">
        <f>("B469")</f>
        <v>B469</v>
      </c>
      <c r="AE253" t="str">
        <f t="shared" si="108"/>
        <v>c.1</v>
      </c>
      <c r="AF253" t="str">
        <f t="shared" si="105"/>
        <v>1.可借圖書</v>
      </c>
      <c r="AG253" t="str">
        <f t="shared" si="106"/>
        <v>在架</v>
      </c>
      <c r="AI253" t="s">
        <v>65</v>
      </c>
      <c r="AK253" t="str">
        <f t="shared" si="90"/>
        <v>一般(Normal)</v>
      </c>
      <c r="AO253" t="s">
        <v>65</v>
      </c>
      <c r="AS253" t="str">
        <f>("c2001. ")</f>
        <v xml:space="preserve">c2001. </v>
      </c>
      <c r="AT253" t="str">
        <f t="shared" si="91"/>
        <v>catc</v>
      </c>
    </row>
    <row r="254" spans="1:46" x14ac:dyDescent="0.25">
      <c r="A254">
        <v>243</v>
      </c>
      <c r="B254" t="str">
        <f>("289167")</f>
        <v>289167</v>
      </c>
      <c r="C254" t="str">
        <f>("W00002279")</f>
        <v>W00002279</v>
      </c>
      <c r="D254" t="str">
        <f>("Acquiring, processing, and deploying voice of the customer/")</f>
        <v>Acquiring, processing, and deploying voice of the customer/</v>
      </c>
      <c r="E254" t="str">
        <f>("Shillito, M. Larry,1939- ")</f>
        <v xml:space="preserve">Shillito, M. Larry,1939- </v>
      </c>
      <c r="F254" t="str">
        <f>("St. Lucie Press ,")</f>
        <v>St. Lucie Press ,</v>
      </c>
      <c r="H254" t="str">
        <f t="shared" si="95"/>
        <v>圖書 book</v>
      </c>
      <c r="I254" t="str">
        <f>("HF5415.5 S556 2001")</f>
        <v>HF5415.5 S556 2001</v>
      </c>
      <c r="J254" t="str">
        <f>("1574442902")</f>
        <v>1574442902</v>
      </c>
      <c r="K254" t="str">
        <f>("1460")</f>
        <v>1460</v>
      </c>
      <c r="L254" t="str">
        <f t="shared" si="88"/>
        <v>2001/10/10 00:00:00</v>
      </c>
      <c r="M254" t="str">
        <f t="shared" si="109"/>
        <v>2018/08/11 13:34:08</v>
      </c>
      <c r="N254" t="str">
        <f>("2001")</f>
        <v>2001</v>
      </c>
      <c r="O254" t="str">
        <f t="shared" si="104"/>
        <v>4F西文書庫 4F Western Language Books</v>
      </c>
      <c r="P254" t="s">
        <v>64</v>
      </c>
      <c r="W254" t="str">
        <f t="shared" si="107"/>
        <v>美國國會圖書分類法</v>
      </c>
      <c r="Y254" t="str">
        <f>("HF5415.5")</f>
        <v>HF5415.5</v>
      </c>
      <c r="Z254" t="str">
        <f t="shared" si="110"/>
        <v>2018/08/11 13:34:08</v>
      </c>
      <c r="AA254" t="str">
        <f t="shared" si="89"/>
        <v>catc</v>
      </c>
      <c r="AC254" t="str">
        <f>("S556")</f>
        <v>S556</v>
      </c>
      <c r="AE254" t="str">
        <f t="shared" si="108"/>
        <v>c.1</v>
      </c>
      <c r="AF254" t="str">
        <f t="shared" si="105"/>
        <v>1.可借圖書</v>
      </c>
      <c r="AG254" t="str">
        <f t="shared" si="106"/>
        <v>在架</v>
      </c>
      <c r="AI254" t="s">
        <v>65</v>
      </c>
      <c r="AK254" t="str">
        <f t="shared" si="90"/>
        <v>一般(Normal)</v>
      </c>
      <c r="AO254" t="s">
        <v>65</v>
      </c>
      <c r="AS254" t="str">
        <f>("c2001 ")</f>
        <v xml:space="preserve">c2001 </v>
      </c>
      <c r="AT254" t="str">
        <f t="shared" si="91"/>
        <v>catc</v>
      </c>
    </row>
    <row r="255" spans="1:46" x14ac:dyDescent="0.25">
      <c r="A255">
        <v>244</v>
      </c>
      <c r="B255" t="str">
        <f>("289168")</f>
        <v>289168</v>
      </c>
      <c r="C255" t="str">
        <f>("W00002280")</f>
        <v>W00002280</v>
      </c>
      <c r="D255" t="str">
        <f>("Managing International Joint Ventures@bThe Route to globalizing your business")</f>
        <v>Managing International Joint Ventures@bThe Route to globalizing your business</v>
      </c>
      <c r="E255" t="str">
        <f>("Clifford,Matthews")</f>
        <v>Clifford,Matthews</v>
      </c>
      <c r="F255" t="str">
        <f>("KOGAN PAGE")</f>
        <v>KOGAN PAGE</v>
      </c>
      <c r="G255" t="str">
        <f>("1th. ed.")</f>
        <v>1th. ed.</v>
      </c>
      <c r="H255" t="str">
        <f t="shared" si="95"/>
        <v>圖書 book</v>
      </c>
      <c r="I255" t="str">
        <f>("HD62.4 C638 2001")</f>
        <v>HD62.4 C638 2001</v>
      </c>
      <c r="J255" t="str">
        <f>("074943497X")</f>
        <v>074943497X</v>
      </c>
      <c r="K255" t="str">
        <f>("792")</f>
        <v>792</v>
      </c>
      <c r="L255" t="str">
        <f t="shared" si="88"/>
        <v>2001/10/10 00:00:00</v>
      </c>
      <c r="M255" t="str">
        <f t="shared" si="109"/>
        <v>2018/08/11 13:34:08</v>
      </c>
      <c r="N255" t="str">
        <f>("2001")</f>
        <v>2001</v>
      </c>
      <c r="O255" t="str">
        <f t="shared" si="104"/>
        <v>4F西文書庫 4F Western Language Books</v>
      </c>
      <c r="P255" t="s">
        <v>64</v>
      </c>
      <c r="W255" t="str">
        <f t="shared" si="107"/>
        <v>美國國會圖書分類法</v>
      </c>
      <c r="Y255" t="str">
        <f>("HD62.4")</f>
        <v>HD62.4</v>
      </c>
      <c r="Z255" t="str">
        <f t="shared" si="110"/>
        <v>2018/08/11 13:34:08</v>
      </c>
      <c r="AA255" t="str">
        <f t="shared" si="89"/>
        <v>catc</v>
      </c>
      <c r="AC255" t="str">
        <f>("C638")</f>
        <v>C638</v>
      </c>
      <c r="AE255" t="str">
        <f t="shared" si="108"/>
        <v>c.1</v>
      </c>
      <c r="AF255" t="str">
        <f t="shared" si="105"/>
        <v>1.可借圖書</v>
      </c>
      <c r="AG255" t="str">
        <f t="shared" si="106"/>
        <v>在架</v>
      </c>
      <c r="AI255" t="s">
        <v>65</v>
      </c>
      <c r="AK255" t="str">
        <f t="shared" si="90"/>
        <v>一般(Normal)</v>
      </c>
      <c r="AO255" t="s">
        <v>65</v>
      </c>
      <c r="AS255" t="str">
        <f>("2000.")</f>
        <v>2000.</v>
      </c>
      <c r="AT255" t="str">
        <f t="shared" si="91"/>
        <v>catc</v>
      </c>
    </row>
    <row r="256" spans="1:46" x14ac:dyDescent="0.25">
      <c r="A256">
        <v>245</v>
      </c>
      <c r="B256" t="str">
        <f>("289150")</f>
        <v>289150</v>
      </c>
      <c r="C256" t="str">
        <f>("W00002281")</f>
        <v>W00002281</v>
      </c>
      <c r="D256" t="str">
        <f>("Soar to success :do your best on nursing tests /")</f>
        <v>Soar to success :do your best on nursing tests /</v>
      </c>
      <c r="E256" t="str">
        <f>("Rollant, Paulette D. ")</f>
        <v xml:space="preserve">Rollant, Paulette D. </v>
      </c>
      <c r="F256" t="str">
        <f>("Mosby, ")</f>
        <v xml:space="preserve">Mosby, </v>
      </c>
      <c r="H256" t="str">
        <f t="shared" si="95"/>
        <v>圖書 book</v>
      </c>
      <c r="I256" t="str">
        <f>("RT55 R749 1999")</f>
        <v>RT55 R749 1999</v>
      </c>
      <c r="J256" t="str">
        <f>("081513858X")</f>
        <v>081513858X</v>
      </c>
      <c r="K256" t="str">
        <f>("600")</f>
        <v>600</v>
      </c>
      <c r="L256" t="str">
        <f t="shared" si="88"/>
        <v>2001/10/10 00:00:00</v>
      </c>
      <c r="M256" t="str">
        <f t="shared" si="109"/>
        <v>2018/08/11 13:34:08</v>
      </c>
      <c r="N256" t="str">
        <f>("1999")</f>
        <v>1999</v>
      </c>
      <c r="O256" t="str">
        <f t="shared" si="104"/>
        <v>4F西文書庫 4F Western Language Books</v>
      </c>
      <c r="P256" t="s">
        <v>64</v>
      </c>
      <c r="W256" t="str">
        <f t="shared" si="107"/>
        <v>美國國會圖書分類法</v>
      </c>
      <c r="Y256" t="str">
        <f>("RT55")</f>
        <v>RT55</v>
      </c>
      <c r="Z256" t="str">
        <f t="shared" si="110"/>
        <v>2018/08/11 13:34:08</v>
      </c>
      <c r="AA256" t="str">
        <f t="shared" si="89"/>
        <v>catc</v>
      </c>
      <c r="AC256" t="str">
        <f>("R749")</f>
        <v>R749</v>
      </c>
      <c r="AE256" t="str">
        <f t="shared" si="108"/>
        <v>c.1</v>
      </c>
      <c r="AF256" t="str">
        <f t="shared" si="105"/>
        <v>1.可借圖書</v>
      </c>
      <c r="AG256" t="str">
        <f t="shared" si="106"/>
        <v>在架</v>
      </c>
      <c r="AI256" t="s">
        <v>65</v>
      </c>
      <c r="AK256" t="str">
        <f t="shared" si="90"/>
        <v>一般(Normal)</v>
      </c>
      <c r="AO256" t="s">
        <v>65</v>
      </c>
      <c r="AS256" t="str">
        <f>("c1999. ")</f>
        <v xml:space="preserve">c1999. </v>
      </c>
      <c r="AT256" t="str">
        <f t="shared" si="91"/>
        <v>catc</v>
      </c>
    </row>
    <row r="257" spans="1:46" x14ac:dyDescent="0.25">
      <c r="A257">
        <v>246</v>
      </c>
      <c r="B257" t="str">
        <f>("289151")</f>
        <v>289151</v>
      </c>
      <c r="C257" t="str">
        <f>("W00002282")</f>
        <v>W00002282</v>
      </c>
      <c r="D257" t="str">
        <f>("Protecting your company's intellectual property :a practical guide to trademarks, copyrights, patents &amp; trade secrets /")</f>
        <v>Protecting your company's intellectual property :a practical guide to trademarks, copyrights, patents &amp; trade secrets /</v>
      </c>
      <c r="E257" t="str">
        <f>("Bouchoux, Deborah E.,1950- ")</f>
        <v xml:space="preserve">Bouchoux, Deborah E.,1950- </v>
      </c>
      <c r="F257" t="str">
        <f>("AMACOM,")</f>
        <v>AMACOM,</v>
      </c>
      <c r="H257" t="str">
        <f t="shared" si="95"/>
        <v>圖書 book</v>
      </c>
      <c r="I257" t="str">
        <f>("KF2980 B755 2001")</f>
        <v>KF2980 B755 2001</v>
      </c>
      <c r="J257" t="str">
        <f>("0814406017")</f>
        <v>0814406017</v>
      </c>
      <c r="K257" t="str">
        <f>("884")</f>
        <v>884</v>
      </c>
      <c r="L257" t="str">
        <f t="shared" si="88"/>
        <v>2001/10/10 00:00:00</v>
      </c>
      <c r="M257" t="str">
        <f t="shared" si="109"/>
        <v>2018/08/11 13:34:08</v>
      </c>
      <c r="N257" t="str">
        <f>("2001")</f>
        <v>2001</v>
      </c>
      <c r="O257" t="str">
        <f t="shared" si="104"/>
        <v>4F西文書庫 4F Western Language Books</v>
      </c>
      <c r="P257" t="s">
        <v>64</v>
      </c>
      <c r="W257" t="str">
        <f t="shared" si="107"/>
        <v>美國國會圖書分類法</v>
      </c>
      <c r="Y257" t="str">
        <f>("KF2980")</f>
        <v>KF2980</v>
      </c>
      <c r="Z257" t="str">
        <f t="shared" si="110"/>
        <v>2018/08/11 13:34:08</v>
      </c>
      <c r="AA257" t="str">
        <f t="shared" si="89"/>
        <v>catc</v>
      </c>
      <c r="AC257" t="str">
        <f>("B755")</f>
        <v>B755</v>
      </c>
      <c r="AE257" t="str">
        <f t="shared" si="108"/>
        <v>c.1</v>
      </c>
      <c r="AF257" t="str">
        <f t="shared" si="105"/>
        <v>1.可借圖書</v>
      </c>
      <c r="AG257" t="str">
        <f t="shared" si="106"/>
        <v>在架</v>
      </c>
      <c r="AI257" t="s">
        <v>65</v>
      </c>
      <c r="AK257" t="str">
        <f t="shared" si="90"/>
        <v>一般(Normal)</v>
      </c>
      <c r="AO257" t="s">
        <v>65</v>
      </c>
      <c r="AS257" t="str">
        <f>("c2001. ")</f>
        <v xml:space="preserve">c2001. </v>
      </c>
      <c r="AT257" t="str">
        <f t="shared" si="91"/>
        <v>catc</v>
      </c>
    </row>
    <row r="258" spans="1:46" x14ac:dyDescent="0.25">
      <c r="A258">
        <v>247</v>
      </c>
      <c r="B258" t="str">
        <f>("289152")</f>
        <v>289152</v>
      </c>
      <c r="C258" t="str">
        <f>("W00002283")</f>
        <v>W00002283</v>
      </c>
      <c r="D258" t="str">
        <f>("Branding :a practical guide to planning your strategy /")</f>
        <v>Branding :a practical guide to planning your strategy /</v>
      </c>
      <c r="E258" t="str">
        <f>("Randall, Geoffrey ")</f>
        <v xml:space="preserve">Randall, Geoffrey </v>
      </c>
      <c r="F258" t="str">
        <f>("Kogan Page,")</f>
        <v>Kogan Page,</v>
      </c>
      <c r="G258" t="str">
        <f>("2nd ed ")</f>
        <v xml:space="preserve">2nd ed </v>
      </c>
      <c r="H258" t="str">
        <f t="shared" si="95"/>
        <v>圖書 book</v>
      </c>
      <c r="I258" t="str">
        <f>("HD69.B7 R188 2000")</f>
        <v>HD69.B7 R188 2000</v>
      </c>
      <c r="J258" t="str">
        <f>("0749432810")</f>
        <v>0749432810</v>
      </c>
      <c r="K258" t="str">
        <f>("624")</f>
        <v>624</v>
      </c>
      <c r="L258" t="str">
        <f t="shared" si="88"/>
        <v>2001/10/10 00:00:00</v>
      </c>
      <c r="M258" t="str">
        <f t="shared" si="109"/>
        <v>2018/08/11 13:34:08</v>
      </c>
      <c r="N258" t="str">
        <f>("2000")</f>
        <v>2000</v>
      </c>
      <c r="O258" t="str">
        <f t="shared" si="104"/>
        <v>4F西文書庫 4F Western Language Books</v>
      </c>
      <c r="P258" t="s">
        <v>64</v>
      </c>
      <c r="W258" t="str">
        <f t="shared" si="107"/>
        <v>美國國會圖書分類法</v>
      </c>
      <c r="Y258" t="str">
        <f>("HD69.B7")</f>
        <v>HD69.B7</v>
      </c>
      <c r="Z258" t="str">
        <f t="shared" si="110"/>
        <v>2018/08/11 13:34:08</v>
      </c>
      <c r="AA258" t="str">
        <f t="shared" si="89"/>
        <v>catc</v>
      </c>
      <c r="AC258" t="str">
        <f>("R188")</f>
        <v>R188</v>
      </c>
      <c r="AE258" t="str">
        <f t="shared" si="108"/>
        <v>c.1</v>
      </c>
      <c r="AF258" t="str">
        <f t="shared" si="105"/>
        <v>1.可借圖書</v>
      </c>
      <c r="AG258" t="str">
        <f t="shared" si="106"/>
        <v>在架</v>
      </c>
      <c r="AI258" t="s">
        <v>65</v>
      </c>
      <c r="AK258" t="str">
        <f t="shared" si="90"/>
        <v>一般(Normal)</v>
      </c>
      <c r="AO258" t="s">
        <v>65</v>
      </c>
      <c r="AS258" t="str">
        <f>("2000 ")</f>
        <v xml:space="preserve">2000 </v>
      </c>
      <c r="AT258" t="str">
        <f t="shared" si="91"/>
        <v>catc</v>
      </c>
    </row>
    <row r="259" spans="1:46" x14ac:dyDescent="0.25">
      <c r="A259">
        <v>248</v>
      </c>
      <c r="B259" t="str">
        <f>("289153")</f>
        <v>289153</v>
      </c>
      <c r="C259" t="str">
        <f>("W00002284")</f>
        <v>W00002284</v>
      </c>
      <c r="D259" t="str">
        <f>("Strategic thinking :a step-by-step approach to strategy /")</f>
        <v>Strategic thinking :a step-by-step approach to strategy /</v>
      </c>
      <c r="E259" t="str">
        <f>("Wootton, Simon ")</f>
        <v xml:space="preserve">Wootton, Simon </v>
      </c>
      <c r="F259" t="str">
        <f>("Kogan Page US,")</f>
        <v>Kogan Page US,</v>
      </c>
      <c r="G259" t="str">
        <f>("2nd ed ")</f>
        <v xml:space="preserve">2nd ed </v>
      </c>
      <c r="H259" t="str">
        <f t="shared" si="95"/>
        <v>圖書 book</v>
      </c>
      <c r="I259" t="str">
        <f>("BF441 W918 2001")</f>
        <v>BF441 W918 2001</v>
      </c>
      <c r="J259" t="str">
        <f>("0749432187")</f>
        <v>0749432187</v>
      </c>
      <c r="K259" t="str">
        <f>("624")</f>
        <v>624</v>
      </c>
      <c r="L259" t="str">
        <f t="shared" si="88"/>
        <v>2001/10/10 00:00:00</v>
      </c>
      <c r="M259" t="str">
        <f t="shared" si="109"/>
        <v>2018/08/11 13:34:08</v>
      </c>
      <c r="N259" t="str">
        <f>("2001")</f>
        <v>2001</v>
      </c>
      <c r="O259" t="str">
        <f t="shared" si="104"/>
        <v>4F西文書庫 4F Western Language Books</v>
      </c>
      <c r="P259" t="s">
        <v>64</v>
      </c>
      <c r="W259" t="str">
        <f t="shared" si="107"/>
        <v>美國國會圖書分類法</v>
      </c>
      <c r="Y259" t="str">
        <f>("BF441")</f>
        <v>BF441</v>
      </c>
      <c r="Z259" t="str">
        <f t="shared" si="110"/>
        <v>2018/08/11 13:34:08</v>
      </c>
      <c r="AA259" t="str">
        <f t="shared" si="89"/>
        <v>catc</v>
      </c>
      <c r="AC259" t="str">
        <f>("W918")</f>
        <v>W918</v>
      </c>
      <c r="AE259" t="str">
        <f t="shared" si="108"/>
        <v>c.1</v>
      </c>
      <c r="AF259" t="str">
        <f t="shared" si="105"/>
        <v>1.可借圖書</v>
      </c>
      <c r="AG259" t="str">
        <f t="shared" si="106"/>
        <v>在架</v>
      </c>
      <c r="AI259" t="s">
        <v>65</v>
      </c>
      <c r="AK259" t="str">
        <f t="shared" si="90"/>
        <v>一般(Normal)</v>
      </c>
      <c r="AO259" t="s">
        <v>65</v>
      </c>
      <c r="AS259" t="str">
        <f>("1997, 2000 ")</f>
        <v xml:space="preserve">1997, 2000 </v>
      </c>
      <c r="AT259" t="str">
        <f t="shared" si="91"/>
        <v>catc</v>
      </c>
    </row>
    <row r="260" spans="1:46" x14ac:dyDescent="0.25">
      <c r="A260">
        <v>249</v>
      </c>
      <c r="B260" t="str">
        <f>("289154")</f>
        <v>289154</v>
      </c>
      <c r="C260" t="str">
        <f>("W00002285")</f>
        <v>W00002285</v>
      </c>
      <c r="D260" t="str">
        <f>("Inspirtaion trainer:making your training flexible,spontaneous and creative/")</f>
        <v>Inspirtaion trainer:making your training flexible,spontaneous and creative/</v>
      </c>
      <c r="E260" t="str">
        <f>("Jackson,Paul Z. ")</f>
        <v xml:space="preserve">Jackson,Paul Z. </v>
      </c>
      <c r="F260" t="str">
        <f>("Kogan Page,")</f>
        <v>Kogan Page,</v>
      </c>
      <c r="G260" t="str">
        <f>("3rd. ed.")</f>
        <v>3rd. ed.</v>
      </c>
      <c r="H260" t="str">
        <f t="shared" si="95"/>
        <v>圖書 book</v>
      </c>
      <c r="I260" t="str">
        <f>("HF5549 J13 2001")</f>
        <v>HF5549 J13 2001</v>
      </c>
      <c r="J260" t="str">
        <f>("0749434686")</f>
        <v>0749434686</v>
      </c>
      <c r="K260" t="str">
        <f>("792")</f>
        <v>792</v>
      </c>
      <c r="L260" t="str">
        <f t="shared" si="88"/>
        <v>2001/10/10 00:00:00</v>
      </c>
      <c r="M260" t="str">
        <f t="shared" si="109"/>
        <v>2018/08/11 13:34:08</v>
      </c>
      <c r="N260" t="str">
        <f>("2001")</f>
        <v>2001</v>
      </c>
      <c r="O260" t="str">
        <f t="shared" si="104"/>
        <v>4F西文書庫 4F Western Language Books</v>
      </c>
      <c r="P260" t="s">
        <v>64</v>
      </c>
      <c r="W260" t="str">
        <f t="shared" si="107"/>
        <v>美國國會圖書分類法</v>
      </c>
      <c r="Y260" t="str">
        <f>("HF5549")</f>
        <v>HF5549</v>
      </c>
      <c r="Z260" t="str">
        <f t="shared" si="110"/>
        <v>2018/08/11 13:34:08</v>
      </c>
      <c r="AA260" t="str">
        <f t="shared" si="89"/>
        <v>catc</v>
      </c>
      <c r="AC260" t="str">
        <f>("J13")</f>
        <v>J13</v>
      </c>
      <c r="AE260" t="str">
        <f t="shared" si="108"/>
        <v>c.1</v>
      </c>
      <c r="AF260" t="str">
        <f t="shared" si="105"/>
        <v>1.可借圖書</v>
      </c>
      <c r="AG260" t="str">
        <f t="shared" si="106"/>
        <v>在架</v>
      </c>
      <c r="AI260" t="s">
        <v>65</v>
      </c>
      <c r="AK260" t="str">
        <f t="shared" si="90"/>
        <v>一般(Normal)</v>
      </c>
      <c r="AO260" t="s">
        <v>65</v>
      </c>
      <c r="AS260" t="str">
        <f>("2001.")</f>
        <v>2001.</v>
      </c>
      <c r="AT260" t="str">
        <f t="shared" si="91"/>
        <v>catc</v>
      </c>
    </row>
    <row r="261" spans="1:46" x14ac:dyDescent="0.25">
      <c r="A261">
        <v>250</v>
      </c>
      <c r="B261" t="str">
        <f>("289155")</f>
        <v>289155</v>
      </c>
      <c r="C261" t="str">
        <f>("W00002286")</f>
        <v>W00002286</v>
      </c>
      <c r="D261" t="str">
        <f>("The 36 strategies of the Chinese(三十六計): adapting ancient chinese wisdom to the business world/ ")</f>
        <v xml:space="preserve">The 36 strategies of the Chinese(三十六計): adapting ancient chinese wisdom to the business world/ </v>
      </c>
      <c r="E261" t="str">
        <f>("Wee, Chow Hou")</f>
        <v>Wee, Chow Hou</v>
      </c>
      <c r="F261" t="str">
        <f>("Addson-Wesley, ")</f>
        <v xml:space="preserve">Addson-Wesley, </v>
      </c>
      <c r="H261" t="str">
        <f t="shared" si="95"/>
        <v>圖書 book</v>
      </c>
      <c r="I261" t="str">
        <f>("HD31 W394 1998")</f>
        <v>HD31 W394 1998</v>
      </c>
      <c r="J261" t="str">
        <f>("9812358323")</f>
        <v>9812358323</v>
      </c>
      <c r="K261" t="str">
        <f>("420")</f>
        <v>420</v>
      </c>
      <c r="L261" t="str">
        <f t="shared" si="88"/>
        <v>2001/10/10 00:00:00</v>
      </c>
      <c r="M261" t="str">
        <f t="shared" si="109"/>
        <v>2018/08/11 13:34:08</v>
      </c>
      <c r="N261" t="str">
        <f>("1998")</f>
        <v>1998</v>
      </c>
      <c r="O261" t="str">
        <f t="shared" si="104"/>
        <v>4F西文書庫 4F Western Language Books</v>
      </c>
      <c r="P261" t="s">
        <v>64</v>
      </c>
      <c r="W261" t="str">
        <f t="shared" si="107"/>
        <v>美國國會圖書分類法</v>
      </c>
      <c r="Y261" t="str">
        <f>("HD31")</f>
        <v>HD31</v>
      </c>
      <c r="Z261" t="str">
        <f t="shared" si="110"/>
        <v>2018/08/11 13:34:08</v>
      </c>
      <c r="AA261" t="str">
        <f t="shared" si="89"/>
        <v>catc</v>
      </c>
      <c r="AC261" t="str">
        <f>("W394")</f>
        <v>W394</v>
      </c>
      <c r="AE261" t="str">
        <f t="shared" si="108"/>
        <v>c.1</v>
      </c>
      <c r="AF261" t="str">
        <f t="shared" si="105"/>
        <v>1.可借圖書</v>
      </c>
      <c r="AG261" t="str">
        <f t="shared" si="106"/>
        <v>在架</v>
      </c>
      <c r="AI261" t="s">
        <v>65</v>
      </c>
      <c r="AK261" t="str">
        <f t="shared" si="90"/>
        <v>一般(Normal)</v>
      </c>
      <c r="AO261" t="s">
        <v>65</v>
      </c>
      <c r="AS261" t="str">
        <f>("1998.")</f>
        <v>1998.</v>
      </c>
      <c r="AT261" t="str">
        <f t="shared" si="91"/>
        <v>catc</v>
      </c>
    </row>
    <row r="262" spans="1:46" x14ac:dyDescent="0.25">
      <c r="A262">
        <v>251</v>
      </c>
      <c r="B262" t="str">
        <f>("289156")</f>
        <v>289156</v>
      </c>
      <c r="C262" t="str">
        <f>("W00002287")</f>
        <v>W00002287</v>
      </c>
      <c r="D262" t="str">
        <f>("Introduction to physical therapy /")</f>
        <v>Introduction to physical therapy /</v>
      </c>
      <c r="E262" t="str">
        <f>("Pagliarulo, Michael A. ;Pagliarulo, Michael A.")</f>
        <v>Pagliarulo, Michael A. ;Pagliarulo, Michael A.</v>
      </c>
      <c r="F262" t="str">
        <f>("Mosby,")</f>
        <v>Mosby,</v>
      </c>
      <c r="G262" t="str">
        <f>("2nd ed. ")</f>
        <v xml:space="preserve">2nd ed. </v>
      </c>
      <c r="H262" t="str">
        <f t="shared" si="95"/>
        <v>圖書 book</v>
      </c>
      <c r="I262" t="str">
        <f>("RM700 P138 2001")</f>
        <v>RM700 P138 2001</v>
      </c>
      <c r="J262" t="str">
        <f>("0323010571")</f>
        <v>0323010571</v>
      </c>
      <c r="K262" t="str">
        <f>("872")</f>
        <v>872</v>
      </c>
      <c r="L262" t="str">
        <f t="shared" si="88"/>
        <v>2001/10/10 00:00:00</v>
      </c>
      <c r="M262" t="str">
        <f t="shared" si="109"/>
        <v>2018/08/11 13:34:08</v>
      </c>
      <c r="N262" t="str">
        <f>("2001")</f>
        <v>2001</v>
      </c>
      <c r="O262" t="str">
        <f t="shared" si="104"/>
        <v>4F西文書庫 4F Western Language Books</v>
      </c>
      <c r="P262" t="s">
        <v>64</v>
      </c>
      <c r="W262" t="str">
        <f t="shared" si="107"/>
        <v>美國國會圖書分類法</v>
      </c>
      <c r="Y262" t="str">
        <f>("RM700")</f>
        <v>RM700</v>
      </c>
      <c r="Z262" t="str">
        <f t="shared" si="110"/>
        <v>2018/08/11 13:34:08</v>
      </c>
      <c r="AA262" t="str">
        <f t="shared" si="89"/>
        <v>catc</v>
      </c>
      <c r="AC262" t="str">
        <f>("P138")</f>
        <v>P138</v>
      </c>
      <c r="AE262" t="str">
        <f t="shared" si="108"/>
        <v>c.1</v>
      </c>
      <c r="AF262" t="str">
        <f t="shared" si="105"/>
        <v>1.可借圖書</v>
      </c>
      <c r="AG262" t="str">
        <f t="shared" si="106"/>
        <v>在架</v>
      </c>
      <c r="AI262" t="s">
        <v>65</v>
      </c>
      <c r="AK262" t="str">
        <f t="shared" si="90"/>
        <v>一般(Normal)</v>
      </c>
      <c r="AO262" t="s">
        <v>65</v>
      </c>
      <c r="AS262" t="str">
        <f>("1999. ")</f>
        <v xml:space="preserve">1999. </v>
      </c>
      <c r="AT262" t="str">
        <f t="shared" si="91"/>
        <v>catc</v>
      </c>
    </row>
    <row r="263" spans="1:46" x14ac:dyDescent="0.25">
      <c r="A263">
        <v>252</v>
      </c>
      <c r="B263" t="str">
        <f>("289157")</f>
        <v>289157</v>
      </c>
      <c r="C263" t="str">
        <f>("W00002288")</f>
        <v>W00002288</v>
      </c>
      <c r="D263" t="str">
        <f>("Lippincott's manual of psychiatric nursing care plans /")</f>
        <v>Lippincott's manual of psychiatric nursing care plans /</v>
      </c>
      <c r="E263" t="str">
        <f>("Schultz, Judith M. ")</f>
        <v xml:space="preserve">Schultz, Judith M. </v>
      </c>
      <c r="F263" t="str">
        <f>("Lippincott,")</f>
        <v>Lippincott,</v>
      </c>
      <c r="G263" t="str">
        <f>("5th ed. ")</f>
        <v xml:space="preserve">5th ed. </v>
      </c>
      <c r="H263" t="str">
        <f t="shared" si="95"/>
        <v>圖書 book</v>
      </c>
      <c r="I263" t="str">
        <f>("RC440 S389 1998")</f>
        <v>RC440 S389 1998</v>
      </c>
      <c r="J263" t="str">
        <f>("0397554176")</f>
        <v>0397554176</v>
      </c>
      <c r="K263" t="str">
        <f>("1036")</f>
        <v>1036</v>
      </c>
      <c r="L263" t="str">
        <f t="shared" si="88"/>
        <v>2001/10/10 00:00:00</v>
      </c>
      <c r="M263" t="str">
        <f>("2018/08/11 13:34:09")</f>
        <v>2018/08/11 13:34:09</v>
      </c>
      <c r="N263" t="str">
        <f>("1998")</f>
        <v>1998</v>
      </c>
      <c r="O263" t="str">
        <f t="shared" si="104"/>
        <v>4F西文書庫 4F Western Language Books</v>
      </c>
      <c r="P263" t="s">
        <v>64</v>
      </c>
      <c r="W263" t="str">
        <f t="shared" si="107"/>
        <v>美國國會圖書分類法</v>
      </c>
      <c r="Y263" t="str">
        <f>("RC440")</f>
        <v>RC440</v>
      </c>
      <c r="Z263" t="str">
        <f>("2018/08/11 13:34:09")</f>
        <v>2018/08/11 13:34:09</v>
      </c>
      <c r="AA263" t="str">
        <f t="shared" si="89"/>
        <v>catc</v>
      </c>
      <c r="AC263" t="str">
        <f>("S389")</f>
        <v>S389</v>
      </c>
      <c r="AE263" t="str">
        <f t="shared" si="108"/>
        <v>c.1</v>
      </c>
      <c r="AF263" t="str">
        <f t="shared" si="105"/>
        <v>1.可借圖書</v>
      </c>
      <c r="AG263" t="str">
        <f t="shared" si="106"/>
        <v>在架</v>
      </c>
      <c r="AI263" t="s">
        <v>65</v>
      </c>
      <c r="AK263" t="str">
        <f t="shared" si="90"/>
        <v>一般(Normal)</v>
      </c>
      <c r="AO263" t="s">
        <v>65</v>
      </c>
      <c r="AS263" t="str">
        <f>("c1998. ")</f>
        <v xml:space="preserve">c1998. </v>
      </c>
      <c r="AT263" t="str">
        <f t="shared" si="91"/>
        <v>catc</v>
      </c>
    </row>
    <row r="264" spans="1:46" x14ac:dyDescent="0.25">
      <c r="A264">
        <v>253</v>
      </c>
      <c r="B264" t="str">
        <f>("289158")</f>
        <v>289158</v>
      </c>
      <c r="C264" t="str">
        <f>("W00002289")</f>
        <v>W00002289</v>
      </c>
      <c r="D264" t="str">
        <f>("Fundamentals of the futures market /")</f>
        <v>Fundamentals of the futures market /</v>
      </c>
      <c r="E264" t="str">
        <f>("Kline, Donna. ")</f>
        <v xml:space="preserve">Kline, Donna. </v>
      </c>
      <c r="F264" t="str">
        <f>("McGraw-Hill, ")</f>
        <v xml:space="preserve">McGraw-Hill, </v>
      </c>
      <c r="H264" t="str">
        <f t="shared" si="95"/>
        <v>圖書 book</v>
      </c>
      <c r="I264" t="str">
        <f>("HG6024.A3 K65 2001")</f>
        <v>HG6024.A3 K65 2001</v>
      </c>
      <c r="J264" t="str">
        <f>("0071361324")</f>
        <v>0071361324</v>
      </c>
      <c r="K264" t="str">
        <f>("884")</f>
        <v>884</v>
      </c>
      <c r="L264" t="str">
        <f t="shared" si="88"/>
        <v>2001/10/10 00:00:00</v>
      </c>
      <c r="M264" t="str">
        <f>("2018/08/11 13:34:09")</f>
        <v>2018/08/11 13:34:09</v>
      </c>
      <c r="N264" t="str">
        <f>("2001")</f>
        <v>2001</v>
      </c>
      <c r="O264" t="str">
        <f t="shared" si="104"/>
        <v>4F西文書庫 4F Western Language Books</v>
      </c>
      <c r="P264" t="s">
        <v>64</v>
      </c>
      <c r="W264" t="str">
        <f t="shared" si="107"/>
        <v>美國國會圖書分類法</v>
      </c>
      <c r="Y264" t="str">
        <f>("HG6024.A3")</f>
        <v>HG6024.A3</v>
      </c>
      <c r="Z264" t="str">
        <f>("2018/08/11 13:34:09")</f>
        <v>2018/08/11 13:34:09</v>
      </c>
      <c r="AA264" t="str">
        <f t="shared" si="89"/>
        <v>catc</v>
      </c>
      <c r="AC264" t="str">
        <f>("K65")</f>
        <v>K65</v>
      </c>
      <c r="AE264" t="str">
        <f t="shared" si="108"/>
        <v>c.1</v>
      </c>
      <c r="AF264" t="str">
        <f t="shared" si="105"/>
        <v>1.可借圖書</v>
      </c>
      <c r="AG264" t="str">
        <f t="shared" si="106"/>
        <v>在架</v>
      </c>
      <c r="AI264" t="s">
        <v>65</v>
      </c>
      <c r="AK264" t="str">
        <f t="shared" si="90"/>
        <v>一般(Normal)</v>
      </c>
      <c r="AO264" t="s">
        <v>65</v>
      </c>
      <c r="AS264" t="str">
        <f>("c2001. ")</f>
        <v xml:space="preserve">c2001. </v>
      </c>
      <c r="AT264" t="str">
        <f t="shared" si="91"/>
        <v>catc</v>
      </c>
    </row>
    <row r="265" spans="1:46" x14ac:dyDescent="0.25">
      <c r="A265">
        <v>254</v>
      </c>
      <c r="B265" t="str">
        <f>("288548")</f>
        <v>288548</v>
      </c>
      <c r="C265" t="str">
        <f>("W00002290")</f>
        <v>W00002290</v>
      </c>
      <c r="D265" t="str">
        <f>("Root cause analysis :simplified tools and techniques /")</f>
        <v>Root cause analysis :simplified tools and techniques /</v>
      </c>
      <c r="E265" t="str">
        <f>("Andersen, Bjorn. ")</f>
        <v xml:space="preserve">Andersen, Bjorn. </v>
      </c>
      <c r="F265" t="str">
        <f>("ASQ Quality Press,")</f>
        <v>ASQ Quality Press,</v>
      </c>
      <c r="H265" t="str">
        <f t="shared" si="95"/>
        <v>圖書 book</v>
      </c>
      <c r="I265" t="str">
        <f>("HD62.15 A544 2000")</f>
        <v>HD62.15 A544 2000</v>
      </c>
      <c r="J265" t="str">
        <f>("0873894669")</f>
        <v>0873894669</v>
      </c>
      <c r="K265" t="str">
        <f>("780")</f>
        <v>780</v>
      </c>
      <c r="L265" t="str">
        <f t="shared" si="88"/>
        <v>2001/10/10 00:00:00</v>
      </c>
      <c r="M265" t="str">
        <f>("2018/08/11 13:33:08")</f>
        <v>2018/08/11 13:33:08</v>
      </c>
      <c r="N265" t="str">
        <f>("2000")</f>
        <v>2000</v>
      </c>
      <c r="O265" t="str">
        <f t="shared" si="104"/>
        <v>4F西文書庫 4F Western Language Books</v>
      </c>
      <c r="P265" t="s">
        <v>64</v>
      </c>
      <c r="S265" t="str">
        <f>("x, 155 p. :")</f>
        <v>x, 155 p. :</v>
      </c>
      <c r="T265" t="str">
        <f>("ill. ;")</f>
        <v>ill. ;</v>
      </c>
      <c r="U265" t="str">
        <f>("28 cm. ")</f>
        <v xml:space="preserve">28 cm. </v>
      </c>
      <c r="W265" t="str">
        <f t="shared" si="107"/>
        <v>美國國會圖書分類法</v>
      </c>
      <c r="Y265" t="str">
        <f>("HD62.15")</f>
        <v>HD62.15</v>
      </c>
      <c r="Z265" t="str">
        <f>("2018/08/11 13:33:08")</f>
        <v>2018/08/11 13:33:08</v>
      </c>
      <c r="AA265" t="str">
        <f t="shared" si="89"/>
        <v>catc</v>
      </c>
      <c r="AC265" t="str">
        <f>("A544")</f>
        <v>A544</v>
      </c>
      <c r="AE265" t="str">
        <f t="shared" si="108"/>
        <v>c.1</v>
      </c>
      <c r="AF265" t="str">
        <f t="shared" si="105"/>
        <v>1.可借圖書</v>
      </c>
      <c r="AG265" t="str">
        <f t="shared" si="106"/>
        <v>在架</v>
      </c>
      <c r="AI265" t="s">
        <v>65</v>
      </c>
      <c r="AK265" t="str">
        <f t="shared" si="90"/>
        <v>一般(Normal)</v>
      </c>
      <c r="AO265" t="s">
        <v>65</v>
      </c>
      <c r="AS265" t="str">
        <f>("c2000. ")</f>
        <v xml:space="preserve">c2000. </v>
      </c>
      <c r="AT265" t="str">
        <f t="shared" si="91"/>
        <v>catc</v>
      </c>
    </row>
    <row r="266" spans="1:46" x14ac:dyDescent="0.25">
      <c r="A266">
        <v>255</v>
      </c>
      <c r="B266" t="str">
        <f>("289159")</f>
        <v>289159</v>
      </c>
      <c r="C266" t="str">
        <f>("W00002291")</f>
        <v>W00002291</v>
      </c>
      <c r="D266" t="str">
        <f>("Reason and insightWestern and Eastern perspectives on the pursuit of moral wisdom /")</f>
        <v>Reason and insightWestern and Eastern perspectives on the pursuit of moral wisdom /</v>
      </c>
      <c r="E266" t="str">
        <f>("Shanahan, Timothy. ")</f>
        <v xml:space="preserve">Shanahan, Timothy. </v>
      </c>
      <c r="F266" t="str">
        <f>("Wadsworth Pub.,")</f>
        <v>Wadsworth Pub.,</v>
      </c>
      <c r="H266" t="str">
        <f t="shared" si="95"/>
        <v>圖書 book</v>
      </c>
      <c r="I266" t="str">
        <f>("BJ69 S524 1996")</f>
        <v>BJ69 S524 1996</v>
      </c>
      <c r="J266" t="str">
        <f>("0534231675")</f>
        <v>0534231675</v>
      </c>
      <c r="K266" t="str">
        <f>("1408")</f>
        <v>1408</v>
      </c>
      <c r="L266" t="str">
        <f t="shared" si="88"/>
        <v>2001/10/10 00:00:00</v>
      </c>
      <c r="M266" t="str">
        <f t="shared" ref="M266:M273" si="111">("2018/08/11 13:34:09")</f>
        <v>2018/08/11 13:34:09</v>
      </c>
      <c r="N266" t="str">
        <f>("1996")</f>
        <v>1996</v>
      </c>
      <c r="O266" t="str">
        <f>("罕用書庫1-洽櫃台填單 Upon-Request Collection1 fil")</f>
        <v>罕用書庫1-洽櫃台填單 Upon-Request Collection1 fil</v>
      </c>
      <c r="P266" t="s">
        <v>64</v>
      </c>
      <c r="S266" t="str">
        <f>("xix, 483 p. :")</f>
        <v>xix, 483 p. :</v>
      </c>
      <c r="T266" t="str">
        <f>("ill. ;")</f>
        <v>ill. ;</v>
      </c>
      <c r="U266" t="str">
        <f>("24 cm. ")</f>
        <v xml:space="preserve">24 cm. </v>
      </c>
      <c r="W266" t="str">
        <f t="shared" si="107"/>
        <v>美國國會圖書分類法</v>
      </c>
      <c r="Y266" t="str">
        <f>("BJ69")</f>
        <v>BJ69</v>
      </c>
      <c r="Z266" t="str">
        <f t="shared" ref="Z266:Z273" si="112">("2018/08/11 13:34:09")</f>
        <v>2018/08/11 13:34:09</v>
      </c>
      <c r="AA266" t="str">
        <f t="shared" si="89"/>
        <v>catc</v>
      </c>
      <c r="AC266" t="str">
        <f>("S524")</f>
        <v>S524</v>
      </c>
      <c r="AE266" t="str">
        <f t="shared" si="108"/>
        <v>c.1</v>
      </c>
      <c r="AF266" t="str">
        <f>("不流通")</f>
        <v>不流通</v>
      </c>
      <c r="AG266" t="str">
        <f>("報銷中")</f>
        <v>報銷中</v>
      </c>
      <c r="AI266" t="s">
        <v>65</v>
      </c>
      <c r="AK266" t="str">
        <f t="shared" si="90"/>
        <v>一般(Normal)</v>
      </c>
      <c r="AO266" t="s">
        <v>65</v>
      </c>
      <c r="AS266" t="str">
        <f>("c1996. ")</f>
        <v xml:space="preserve">c1996. </v>
      </c>
      <c r="AT266" t="str">
        <f t="shared" si="91"/>
        <v>catc</v>
      </c>
    </row>
    <row r="267" spans="1:46" x14ac:dyDescent="0.25">
      <c r="A267">
        <v>256</v>
      </c>
      <c r="B267" t="str">
        <f>("289160")</f>
        <v>289160</v>
      </c>
      <c r="C267" t="str">
        <f>("W00002292")</f>
        <v>W00002292</v>
      </c>
      <c r="D267" t="str">
        <f>("Learning about learning :resources for supporting effective learning /")</f>
        <v>Learning about learning :resources for supporting effective learning /</v>
      </c>
      <c r="E267" t="str">
        <f>("Watkins, Chris. ")</f>
        <v xml:space="preserve">Watkins, Chris. </v>
      </c>
      <c r="F267" t="str">
        <f>("Routledge,")</f>
        <v>Routledge,</v>
      </c>
      <c r="H267" t="str">
        <f t="shared" si="95"/>
        <v>圖書 book</v>
      </c>
      <c r="I267" t="str">
        <f>("LB1060 W336 2000")</f>
        <v>LB1060 W336 2000</v>
      </c>
      <c r="J267" t="str">
        <f>("0415223490")</f>
        <v>0415223490</v>
      </c>
      <c r="K267" t="str">
        <f>("828")</f>
        <v>828</v>
      </c>
      <c r="L267" t="str">
        <f t="shared" si="88"/>
        <v>2001/10/10 00:00:00</v>
      </c>
      <c r="M267" t="str">
        <f t="shared" si="111"/>
        <v>2018/08/11 13:34:09</v>
      </c>
      <c r="N267" t="str">
        <f>("2000")</f>
        <v>2000</v>
      </c>
      <c r="O267" t="str">
        <f>("4F西文書庫 4F Western Language Books")</f>
        <v>4F西文書庫 4F Western Language Books</v>
      </c>
      <c r="P267" t="s">
        <v>64</v>
      </c>
      <c r="W267" t="str">
        <f t="shared" si="107"/>
        <v>美國國會圖書分類法</v>
      </c>
      <c r="Y267" t="str">
        <f>("LB1060")</f>
        <v>LB1060</v>
      </c>
      <c r="Z267" t="str">
        <f t="shared" si="112"/>
        <v>2018/08/11 13:34:09</v>
      </c>
      <c r="AA267" t="str">
        <f t="shared" si="89"/>
        <v>catc</v>
      </c>
      <c r="AC267" t="str">
        <f>("W336")</f>
        <v>W336</v>
      </c>
      <c r="AE267" t="str">
        <f t="shared" si="108"/>
        <v>c.1</v>
      </c>
      <c r="AF267" t="str">
        <f>("1.可借圖書")</f>
        <v>1.可借圖書</v>
      </c>
      <c r="AG267" t="str">
        <f>("在架")</f>
        <v>在架</v>
      </c>
      <c r="AI267" t="s">
        <v>65</v>
      </c>
      <c r="AK267" t="str">
        <f t="shared" si="90"/>
        <v>一般(Normal)</v>
      </c>
      <c r="AO267" t="s">
        <v>65</v>
      </c>
      <c r="AS267" t="str">
        <f>("2000. ")</f>
        <v xml:space="preserve">2000. </v>
      </c>
      <c r="AT267" t="str">
        <f t="shared" si="91"/>
        <v>catc</v>
      </c>
    </row>
    <row r="268" spans="1:46" x14ac:dyDescent="0.25">
      <c r="A268">
        <v>257</v>
      </c>
      <c r="B268" t="str">
        <f>("289181")</f>
        <v>289181</v>
      </c>
      <c r="C268" t="str">
        <f>("W00002293")</f>
        <v>W00002293</v>
      </c>
      <c r="D268" t="str">
        <f>("Guidelines for physical education programs, grades K-12 :standards, objectives, and assessments /")</f>
        <v>Guidelines for physical education programs, grades K-12 :standards, objectives, and assessments /</v>
      </c>
      <c r="E268" t="str">
        <f>("Chepko, Steveda F. ;Arnold, Ree K. Spaeth. ")</f>
        <v xml:space="preserve">Chepko, Steveda F. ;Arnold, Ree K. Spaeth. </v>
      </c>
      <c r="F268" t="str">
        <f>("Allyn and Bacon,")</f>
        <v>Allyn and Bacon,</v>
      </c>
      <c r="H268" t="str">
        <f t="shared" si="95"/>
        <v>圖書 book</v>
      </c>
      <c r="I268" t="str">
        <f>("GV443 G946 2000")</f>
        <v>GV443 G946 2000</v>
      </c>
      <c r="J268" t="str">
        <f>("0205283268")</f>
        <v>0205283268</v>
      </c>
      <c r="K268" t="str">
        <f>("892")</f>
        <v>892</v>
      </c>
      <c r="L268" t="str">
        <f t="shared" ref="L268:L331" si="113">("2001/10/10 00:00:00")</f>
        <v>2001/10/10 00:00:00</v>
      </c>
      <c r="M268" t="str">
        <f t="shared" si="111"/>
        <v>2018/08/11 13:34:09</v>
      </c>
      <c r="N268" t="str">
        <f>("2000")</f>
        <v>2000</v>
      </c>
      <c r="O268" t="str">
        <f>("4F西文書庫 4F Western Language Books")</f>
        <v>4F西文書庫 4F Western Language Books</v>
      </c>
      <c r="P268" t="s">
        <v>64</v>
      </c>
      <c r="W268" t="str">
        <f t="shared" si="107"/>
        <v>美國國會圖書分類法</v>
      </c>
      <c r="Y268" t="str">
        <f>("GV443")</f>
        <v>GV443</v>
      </c>
      <c r="Z268" t="str">
        <f t="shared" si="112"/>
        <v>2018/08/11 13:34:09</v>
      </c>
      <c r="AA268" t="str">
        <f t="shared" ref="AA268:AA331" si="114">("catc")</f>
        <v>catc</v>
      </c>
      <c r="AC268" t="str">
        <f>("G946")</f>
        <v>G946</v>
      </c>
      <c r="AE268" t="str">
        <f t="shared" si="108"/>
        <v>c.1</v>
      </c>
      <c r="AF268" t="str">
        <f>("1.可借圖書")</f>
        <v>1.可借圖書</v>
      </c>
      <c r="AG268" t="str">
        <f>("在架")</f>
        <v>在架</v>
      </c>
      <c r="AI268" t="s">
        <v>65</v>
      </c>
      <c r="AK268" t="str">
        <f t="shared" ref="AK268:AK331" si="115">("一般(Normal)")</f>
        <v>一般(Normal)</v>
      </c>
      <c r="AO268" t="s">
        <v>65</v>
      </c>
      <c r="AS268" t="str">
        <f>("c2000. ")</f>
        <v xml:space="preserve">c2000. </v>
      </c>
      <c r="AT268" t="str">
        <f t="shared" ref="AT268:AT331" si="116">("catc")</f>
        <v>catc</v>
      </c>
    </row>
    <row r="269" spans="1:46" x14ac:dyDescent="0.25">
      <c r="A269">
        <v>258</v>
      </c>
      <c r="B269" t="str">
        <f>("289182")</f>
        <v>289182</v>
      </c>
      <c r="C269" t="str">
        <f>("W00002294")</f>
        <v>W00002294</v>
      </c>
      <c r="D269" t="str">
        <f>("Sociology.net :sociology on the Internet /")</f>
        <v>Sociology.net :sociology on the Internet /</v>
      </c>
      <c r="E269" t="str">
        <f>("Ferrante-Wallace, Joan,1955- ")</f>
        <v xml:space="preserve">Ferrante-Wallace, Joan,1955- </v>
      </c>
      <c r="F269" t="str">
        <f>("Wadsworth Pub.,")</f>
        <v>Wadsworth Pub.,</v>
      </c>
      <c r="H269" t="str">
        <f t="shared" si="95"/>
        <v>圖書 book</v>
      </c>
      <c r="I269" t="str">
        <f>("HM51 F373-2 1997")</f>
        <v>HM51 F373-2 1997</v>
      </c>
      <c r="J269" t="str">
        <f>("0534527566")</f>
        <v>0534527566</v>
      </c>
      <c r="K269" t="str">
        <f>("868")</f>
        <v>868</v>
      </c>
      <c r="L269" t="str">
        <f t="shared" si="113"/>
        <v>2001/10/10 00:00:00</v>
      </c>
      <c r="M269" t="str">
        <f t="shared" si="111"/>
        <v>2018/08/11 13:34:09</v>
      </c>
      <c r="N269" t="str">
        <f>("1997")</f>
        <v>1997</v>
      </c>
      <c r="O269" t="str">
        <f>("4F西文書庫 4F Western Language Books")</f>
        <v>4F西文書庫 4F Western Language Books</v>
      </c>
      <c r="P269" t="s">
        <v>64</v>
      </c>
      <c r="W269" t="str">
        <f t="shared" si="107"/>
        <v>美國國會圖書分類法</v>
      </c>
      <c r="Y269" t="str">
        <f>("HM51")</f>
        <v>HM51</v>
      </c>
      <c r="Z269" t="str">
        <f t="shared" si="112"/>
        <v>2018/08/11 13:34:09</v>
      </c>
      <c r="AA269" t="str">
        <f t="shared" si="114"/>
        <v>catc</v>
      </c>
      <c r="AC269" t="str">
        <f>("F373-2")</f>
        <v>F373-2</v>
      </c>
      <c r="AE269" t="str">
        <f t="shared" si="108"/>
        <v>c.1</v>
      </c>
      <c r="AF269" t="str">
        <f>("1.可借圖書")</f>
        <v>1.可借圖書</v>
      </c>
      <c r="AG269" t="str">
        <f>("在架")</f>
        <v>在架</v>
      </c>
      <c r="AI269" t="s">
        <v>65</v>
      </c>
      <c r="AK269" t="str">
        <f t="shared" si="115"/>
        <v>一般(Normal)</v>
      </c>
      <c r="AO269" t="s">
        <v>65</v>
      </c>
      <c r="AS269" t="str">
        <f>("c1997. ")</f>
        <v xml:space="preserve">c1997. </v>
      </c>
      <c r="AT269" t="str">
        <f t="shared" si="116"/>
        <v>catc</v>
      </c>
    </row>
    <row r="270" spans="1:46" x14ac:dyDescent="0.25">
      <c r="A270">
        <v>259</v>
      </c>
      <c r="B270" t="str">
        <f>("289183")</f>
        <v>289183</v>
      </c>
      <c r="C270" t="str">
        <f>("W00002295")</f>
        <v>W00002295</v>
      </c>
      <c r="D270" t="str">
        <f>("Knowledge and the body-mind problem:In defence of interaction /")</f>
        <v>Knowledge and the body-mind problem:In defence of interaction /</v>
      </c>
      <c r="E270" t="str">
        <f>("Popper, Kark")</f>
        <v>Popper, Kark</v>
      </c>
      <c r="F270" t="str">
        <f>("Routledge,")</f>
        <v>Routledge,</v>
      </c>
      <c r="G270" t="str">
        <f>("1st ed.")</f>
        <v>1st ed.</v>
      </c>
      <c r="H270" t="str">
        <f t="shared" si="95"/>
        <v>圖書 book</v>
      </c>
      <c r="I270" t="str">
        <f>("BF161 P831 1996")</f>
        <v>BF161 P831 1996</v>
      </c>
      <c r="J270" t="str">
        <f>("0415135567")</f>
        <v>0415135567</v>
      </c>
      <c r="K270" t="str">
        <f>("572")</f>
        <v>572</v>
      </c>
      <c r="L270" t="str">
        <f t="shared" si="113"/>
        <v>2001/10/10 00:00:00</v>
      </c>
      <c r="M270" t="str">
        <f t="shared" si="111"/>
        <v>2018/08/11 13:34:09</v>
      </c>
      <c r="N270" t="str">
        <f>("1996")</f>
        <v>1996</v>
      </c>
      <c r="O270" t="str">
        <f>("罕用書庫1-洽櫃台填單 Upon-Request Collection1 fil")</f>
        <v>罕用書庫1-洽櫃台填單 Upon-Request Collection1 fil</v>
      </c>
      <c r="P270" t="s">
        <v>64</v>
      </c>
      <c r="S270" t="str">
        <f>("158p.;")</f>
        <v>158p.;</v>
      </c>
      <c r="U270" t="str">
        <f>("21cm.")</f>
        <v>21cm.</v>
      </c>
      <c r="W270" t="str">
        <f t="shared" si="107"/>
        <v>美國國會圖書分類法</v>
      </c>
      <c r="Y270" t="str">
        <f>("BF161")</f>
        <v>BF161</v>
      </c>
      <c r="Z270" t="str">
        <f t="shared" si="112"/>
        <v>2018/08/11 13:34:09</v>
      </c>
      <c r="AA270" t="str">
        <f t="shared" si="114"/>
        <v>catc</v>
      </c>
      <c r="AC270" t="str">
        <f>("P831")</f>
        <v>P831</v>
      </c>
      <c r="AE270" t="str">
        <f t="shared" si="108"/>
        <v>c.1</v>
      </c>
      <c r="AF270" t="str">
        <f>("不流通")</f>
        <v>不流通</v>
      </c>
      <c r="AG270" t="str">
        <f>("報銷中")</f>
        <v>報銷中</v>
      </c>
      <c r="AI270" t="s">
        <v>65</v>
      </c>
      <c r="AK270" t="str">
        <f t="shared" si="115"/>
        <v>一般(Normal)</v>
      </c>
      <c r="AO270" t="s">
        <v>65</v>
      </c>
      <c r="AS270" t="str">
        <f>("1996.")</f>
        <v>1996.</v>
      </c>
      <c r="AT270" t="str">
        <f t="shared" si="116"/>
        <v>catc</v>
      </c>
    </row>
    <row r="271" spans="1:46" x14ac:dyDescent="0.25">
      <c r="A271">
        <v>260</v>
      </c>
      <c r="B271" t="str">
        <f>("289184")</f>
        <v>289184</v>
      </c>
      <c r="C271" t="str">
        <f>("W00002296")</f>
        <v>W00002296</v>
      </c>
      <c r="D271" t="str">
        <f>("Sociology in our times /")</f>
        <v>Sociology in our times /</v>
      </c>
      <c r="E271" t="str">
        <f>("Kendall, Diana Elizabeth. ")</f>
        <v xml:space="preserve">Kendall, Diana Elizabeth. </v>
      </c>
      <c r="F271" t="str">
        <f>("Wadsworth/Thompson Learning,")</f>
        <v>Wadsworth/Thompson Learning,</v>
      </c>
      <c r="G271" t="str">
        <f>("3rd ed. ")</f>
        <v xml:space="preserve">3rd ed. </v>
      </c>
      <c r="H271" t="str">
        <f t="shared" si="95"/>
        <v>圖書 book</v>
      </c>
      <c r="I271" t="str">
        <f>("HM48 N532 1996")</f>
        <v>HM48 N532 1996</v>
      </c>
      <c r="J271" t="str">
        <f>("053457078X")</f>
        <v>053457078X</v>
      </c>
      <c r="K271" t="str">
        <f>("792")</f>
        <v>792</v>
      </c>
      <c r="L271" t="str">
        <f t="shared" si="113"/>
        <v>2001/10/10 00:00:00</v>
      </c>
      <c r="M271" t="str">
        <f t="shared" si="111"/>
        <v>2018/08/11 13:34:09</v>
      </c>
      <c r="N271" t="str">
        <f>("1996")</f>
        <v>1996</v>
      </c>
      <c r="O271" t="str">
        <f t="shared" ref="O271:O278" si="117">("4F西文書庫 4F Western Language Books")</f>
        <v>4F西文書庫 4F Western Language Books</v>
      </c>
      <c r="P271" t="s">
        <v>64</v>
      </c>
      <c r="W271" t="str">
        <f t="shared" ref="W271:W307" si="118">("美國國會圖書分類法")</f>
        <v>美國國會圖書分類法</v>
      </c>
      <c r="Y271" t="str">
        <f>("HM48")</f>
        <v>HM48</v>
      </c>
      <c r="Z271" t="str">
        <f t="shared" si="112"/>
        <v>2018/08/11 13:34:09</v>
      </c>
      <c r="AA271" t="str">
        <f t="shared" si="114"/>
        <v>catc</v>
      </c>
      <c r="AC271" t="str">
        <f>("N532")</f>
        <v>N532</v>
      </c>
      <c r="AE271" t="str">
        <f t="shared" si="108"/>
        <v>c.1</v>
      </c>
      <c r="AF271" t="str">
        <f t="shared" ref="AF271:AF278" si="119">("1.可借圖書")</f>
        <v>1.可借圖書</v>
      </c>
      <c r="AG271" t="str">
        <f t="shared" ref="AG271:AG278" si="120">("在架")</f>
        <v>在架</v>
      </c>
      <c r="AI271" t="s">
        <v>65</v>
      </c>
      <c r="AK271" t="str">
        <f t="shared" si="115"/>
        <v>一般(Normal)</v>
      </c>
      <c r="AO271" t="s">
        <v>65</v>
      </c>
      <c r="AS271" t="str">
        <f>("c2001. ")</f>
        <v xml:space="preserve">c2001. </v>
      </c>
      <c r="AT271" t="str">
        <f t="shared" si="116"/>
        <v>catc</v>
      </c>
    </row>
    <row r="272" spans="1:46" x14ac:dyDescent="0.25">
      <c r="A272">
        <v>261</v>
      </c>
      <c r="B272" t="str">
        <f>("289185")</f>
        <v>289185</v>
      </c>
      <c r="C272" t="str">
        <f>("W00002297")</f>
        <v>W00002297</v>
      </c>
      <c r="D272" t="str">
        <f>("Fundamentals of the options market /")</f>
        <v>Fundamentals of the options market /</v>
      </c>
      <c r="E272" t="str">
        <f>("Williams, Michael")</f>
        <v>Williams, Michael</v>
      </c>
      <c r="F272" t="str">
        <f>("McGraw-Hill,")</f>
        <v>McGraw-Hill,</v>
      </c>
      <c r="H272" t="str">
        <f t="shared" si="95"/>
        <v>圖書 book</v>
      </c>
      <c r="I272" t="str">
        <f>("HG6042 W721 2001")</f>
        <v>HG6042 W721 2001</v>
      </c>
      <c r="J272" t="str">
        <f>("0071363181")</f>
        <v>0071363181</v>
      </c>
      <c r="K272" t="str">
        <f>("884")</f>
        <v>884</v>
      </c>
      <c r="L272" t="str">
        <f t="shared" si="113"/>
        <v>2001/10/10 00:00:00</v>
      </c>
      <c r="M272" t="str">
        <f t="shared" si="111"/>
        <v>2018/08/11 13:34:09</v>
      </c>
      <c r="N272" t="str">
        <f>("2001")</f>
        <v>2001</v>
      </c>
      <c r="O272" t="str">
        <f t="shared" si="117"/>
        <v>4F西文書庫 4F Western Language Books</v>
      </c>
      <c r="P272" t="s">
        <v>64</v>
      </c>
      <c r="W272" t="str">
        <f t="shared" si="118"/>
        <v>美國國會圖書分類法</v>
      </c>
      <c r="Y272" t="str">
        <f>("HG6042")</f>
        <v>HG6042</v>
      </c>
      <c r="Z272" t="str">
        <f t="shared" si="112"/>
        <v>2018/08/11 13:34:09</v>
      </c>
      <c r="AA272" t="str">
        <f t="shared" si="114"/>
        <v>catc</v>
      </c>
      <c r="AC272" t="str">
        <f>("W721")</f>
        <v>W721</v>
      </c>
      <c r="AE272" t="str">
        <f t="shared" si="108"/>
        <v>c.1</v>
      </c>
      <c r="AF272" t="str">
        <f t="shared" si="119"/>
        <v>1.可借圖書</v>
      </c>
      <c r="AG272" t="str">
        <f t="shared" si="120"/>
        <v>在架</v>
      </c>
      <c r="AI272" t="s">
        <v>65</v>
      </c>
      <c r="AK272" t="str">
        <f t="shared" si="115"/>
        <v>一般(Normal)</v>
      </c>
      <c r="AO272" t="s">
        <v>65</v>
      </c>
      <c r="AS272" t="str">
        <f>("c2001. ")</f>
        <v xml:space="preserve">c2001. </v>
      </c>
      <c r="AT272" t="str">
        <f t="shared" si="116"/>
        <v>catc</v>
      </c>
    </row>
    <row r="273" spans="1:46" x14ac:dyDescent="0.25">
      <c r="A273">
        <v>262</v>
      </c>
      <c r="B273" t="str">
        <f>("289169")</f>
        <v>289169</v>
      </c>
      <c r="C273" t="str">
        <f>("W00002298")</f>
        <v>W00002298</v>
      </c>
      <c r="D273" t="str">
        <f>("Being human :an introduction to cultural anthropology /")</f>
        <v>Being human :an introduction to cultural anthropology /</v>
      </c>
      <c r="E273" t="str">
        <f>("Womack, Mari. ")</f>
        <v xml:space="preserve">Womack, Mari. </v>
      </c>
      <c r="F273" t="str">
        <f>("Prentice Hall,")</f>
        <v>Prentice Hall,</v>
      </c>
      <c r="H273" t="str">
        <f t="shared" si="95"/>
        <v>圖書 book</v>
      </c>
      <c r="I273" t="str">
        <f>("GN316 W872 1998")</f>
        <v>GN316 W872 1998</v>
      </c>
      <c r="J273" t="str">
        <f>("0136440711")</f>
        <v>0136440711</v>
      </c>
      <c r="K273" t="str">
        <f>("1456")</f>
        <v>1456</v>
      </c>
      <c r="L273" t="str">
        <f t="shared" si="113"/>
        <v>2001/10/10 00:00:00</v>
      </c>
      <c r="M273" t="str">
        <f t="shared" si="111"/>
        <v>2018/08/11 13:34:09</v>
      </c>
      <c r="N273" t="str">
        <f>("1998")</f>
        <v>1998</v>
      </c>
      <c r="O273" t="str">
        <f t="shared" si="117"/>
        <v>4F西文書庫 4F Western Language Books</v>
      </c>
      <c r="P273" t="s">
        <v>64</v>
      </c>
      <c r="W273" t="str">
        <f t="shared" si="118"/>
        <v>美國國會圖書分類法</v>
      </c>
      <c r="Y273" t="str">
        <f>("GN316")</f>
        <v>GN316</v>
      </c>
      <c r="Z273" t="str">
        <f t="shared" si="112"/>
        <v>2018/08/11 13:34:09</v>
      </c>
      <c r="AA273" t="str">
        <f t="shared" si="114"/>
        <v>catc</v>
      </c>
      <c r="AC273" t="str">
        <f>("W872")</f>
        <v>W872</v>
      </c>
      <c r="AE273" t="str">
        <f t="shared" si="108"/>
        <v>c.1</v>
      </c>
      <c r="AF273" t="str">
        <f t="shared" si="119"/>
        <v>1.可借圖書</v>
      </c>
      <c r="AG273" t="str">
        <f t="shared" si="120"/>
        <v>在架</v>
      </c>
      <c r="AI273" t="s">
        <v>65</v>
      </c>
      <c r="AK273" t="str">
        <f t="shared" si="115"/>
        <v>一般(Normal)</v>
      </c>
      <c r="AO273" t="s">
        <v>65</v>
      </c>
      <c r="AS273" t="str">
        <f>("c1998. ")</f>
        <v xml:space="preserve">c1998. </v>
      </c>
      <c r="AT273" t="str">
        <f t="shared" si="116"/>
        <v>catc</v>
      </c>
    </row>
    <row r="274" spans="1:46" x14ac:dyDescent="0.25">
      <c r="A274">
        <v>263</v>
      </c>
      <c r="B274" t="str">
        <f>("289186")</f>
        <v>289186</v>
      </c>
      <c r="C274" t="str">
        <f>("W00002299")</f>
        <v>W00002299</v>
      </c>
      <c r="D274" t="str">
        <f>("Liability issues in perinatal nursing /")</f>
        <v>Liability issues in perinatal nursing /</v>
      </c>
      <c r="E274" t="str">
        <f>("Rostant, Donna Miller. ")</f>
        <v xml:space="preserve">Rostant, Donna Miller. </v>
      </c>
      <c r="F274" t="str">
        <f>("Lippincott,")</f>
        <v>Lippincott,</v>
      </c>
      <c r="G274" t="str">
        <f>("2nd ed. ")</f>
        <v xml:space="preserve">2nd ed. </v>
      </c>
      <c r="H274" t="str">
        <f t="shared" si="95"/>
        <v>圖書 book</v>
      </c>
      <c r="I274" t="str">
        <f>("KF2915.N83 R839 1999")</f>
        <v>KF2915.N83 R839 1999</v>
      </c>
      <c r="J274" t="str">
        <f>("0397552769")</f>
        <v>0397552769</v>
      </c>
      <c r="K274" t="str">
        <f>("1232")</f>
        <v>1232</v>
      </c>
      <c r="L274" t="str">
        <f t="shared" si="113"/>
        <v>2001/10/10 00:00:00</v>
      </c>
      <c r="M274" t="str">
        <f>("2018/08/11 13:34:10")</f>
        <v>2018/08/11 13:34:10</v>
      </c>
      <c r="N274" t="str">
        <f>("1999")</f>
        <v>1999</v>
      </c>
      <c r="O274" t="str">
        <f t="shared" si="117"/>
        <v>4F西文書庫 4F Western Language Books</v>
      </c>
      <c r="P274" t="s">
        <v>64</v>
      </c>
      <c r="W274" t="str">
        <f t="shared" si="118"/>
        <v>美國國會圖書分類法</v>
      </c>
      <c r="Y274" t="str">
        <f>("KF2915.N83")</f>
        <v>KF2915.N83</v>
      </c>
      <c r="Z274" t="str">
        <f>("2018/08/11 13:34:10")</f>
        <v>2018/08/11 13:34:10</v>
      </c>
      <c r="AA274" t="str">
        <f t="shared" si="114"/>
        <v>catc</v>
      </c>
      <c r="AC274" t="str">
        <f>("R839")</f>
        <v>R839</v>
      </c>
      <c r="AE274" t="str">
        <f t="shared" si="108"/>
        <v>c.1</v>
      </c>
      <c r="AF274" t="str">
        <f t="shared" si="119"/>
        <v>1.可借圖書</v>
      </c>
      <c r="AG274" t="str">
        <f t="shared" si="120"/>
        <v>在架</v>
      </c>
      <c r="AI274" t="s">
        <v>65</v>
      </c>
      <c r="AK274" t="str">
        <f t="shared" si="115"/>
        <v>一般(Normal)</v>
      </c>
      <c r="AO274" t="s">
        <v>65</v>
      </c>
      <c r="AS274" t="str">
        <f>("c1999. ")</f>
        <v xml:space="preserve">c1999. </v>
      </c>
      <c r="AT274" t="str">
        <f t="shared" si="116"/>
        <v>catc</v>
      </c>
    </row>
    <row r="275" spans="1:46" x14ac:dyDescent="0.25">
      <c r="A275">
        <v>264</v>
      </c>
      <c r="B275" t="str">
        <f>("289157")</f>
        <v>289157</v>
      </c>
      <c r="C275" t="str">
        <f>("W00002300")</f>
        <v>W00002300</v>
      </c>
      <c r="D275" t="str">
        <f>("Lippincott's manual of psychiatric nursing care plans /")</f>
        <v>Lippincott's manual of psychiatric nursing care plans /</v>
      </c>
      <c r="E275" t="str">
        <f>("Schultz, Judith M. ")</f>
        <v xml:space="preserve">Schultz, Judith M. </v>
      </c>
      <c r="F275" t="str">
        <f>("Lippincott,")</f>
        <v>Lippincott,</v>
      </c>
      <c r="G275" t="str">
        <f>("5th ed. ")</f>
        <v xml:space="preserve">5th ed. </v>
      </c>
      <c r="H275" t="str">
        <f t="shared" si="95"/>
        <v>圖書 book</v>
      </c>
      <c r="I275" t="str">
        <f>("RC440 S389 1998 c.2")</f>
        <v>RC440 S389 1998 c.2</v>
      </c>
      <c r="J275" t="str">
        <f>("0397554176")</f>
        <v>0397554176</v>
      </c>
      <c r="K275" t="str">
        <f>("864")</f>
        <v>864</v>
      </c>
      <c r="L275" t="str">
        <f t="shared" si="113"/>
        <v>2001/10/10 00:00:00</v>
      </c>
      <c r="M275" t="str">
        <f>("2018/08/11 13:34:09")</f>
        <v>2018/08/11 13:34:09</v>
      </c>
      <c r="N275" t="str">
        <f>("1998")</f>
        <v>1998</v>
      </c>
      <c r="O275" t="str">
        <f t="shared" si="117"/>
        <v>4F西文書庫 4F Western Language Books</v>
      </c>
      <c r="P275" t="s">
        <v>64</v>
      </c>
      <c r="W275" t="str">
        <f t="shared" si="118"/>
        <v>美國國會圖書分類法</v>
      </c>
      <c r="Y275" t="str">
        <f>("RC440")</f>
        <v>RC440</v>
      </c>
      <c r="Z275" t="str">
        <f>("2018/08/11 13:34:09")</f>
        <v>2018/08/11 13:34:09</v>
      </c>
      <c r="AA275" t="str">
        <f t="shared" si="114"/>
        <v>catc</v>
      </c>
      <c r="AC275" t="str">
        <f>("S389")</f>
        <v>S389</v>
      </c>
      <c r="AE275" t="str">
        <f>("c.2")</f>
        <v>c.2</v>
      </c>
      <c r="AF275" t="str">
        <f t="shared" si="119"/>
        <v>1.可借圖書</v>
      </c>
      <c r="AG275" t="str">
        <f t="shared" si="120"/>
        <v>在架</v>
      </c>
      <c r="AI275" t="s">
        <v>65</v>
      </c>
      <c r="AK275" t="str">
        <f t="shared" si="115"/>
        <v>一般(Normal)</v>
      </c>
      <c r="AO275" t="s">
        <v>65</v>
      </c>
      <c r="AS275" t="str">
        <f>("c1998. ")</f>
        <v xml:space="preserve">c1998. </v>
      </c>
      <c r="AT275" t="str">
        <f t="shared" si="116"/>
        <v>catc</v>
      </c>
    </row>
    <row r="276" spans="1:46" x14ac:dyDescent="0.25">
      <c r="A276">
        <v>265</v>
      </c>
      <c r="B276" t="str">
        <f>("289187")</f>
        <v>289187</v>
      </c>
      <c r="C276" t="str">
        <f>("W00002301")</f>
        <v>W00002301</v>
      </c>
      <c r="D276" t="str">
        <f>("Churchill's mastery of medicine obstetrics and gynaecology /")</f>
        <v>Churchill's mastery of medicine obstetrics and gynaecology /</v>
      </c>
      <c r="E276" t="str">
        <f>("McCarthy, Andrew")</f>
        <v>McCarthy, Andrew</v>
      </c>
      <c r="F276" t="str">
        <f>("Churchill Livingstone,")</f>
        <v>Churchill Livingstone,</v>
      </c>
      <c r="G276" t="str">
        <f>("1st ed.")</f>
        <v>1st ed.</v>
      </c>
      <c r="H276" t="str">
        <f t="shared" si="95"/>
        <v>圖書 book</v>
      </c>
      <c r="I276" t="str">
        <f>("RG111 M111 1998")</f>
        <v>RG111 M111 1998</v>
      </c>
      <c r="J276" t="str">
        <f>("0443052441")</f>
        <v>0443052441</v>
      </c>
      <c r="K276" t="str">
        <f>("464")</f>
        <v>464</v>
      </c>
      <c r="L276" t="str">
        <f t="shared" si="113"/>
        <v>2001/10/10 00:00:00</v>
      </c>
      <c r="M276" t="str">
        <f t="shared" ref="M276:M286" si="121">("2018/08/11 13:34:10")</f>
        <v>2018/08/11 13:34:10</v>
      </c>
      <c r="N276" t="str">
        <f>("1998")</f>
        <v>1998</v>
      </c>
      <c r="O276" t="str">
        <f t="shared" si="117"/>
        <v>4F西文書庫 4F Western Language Books</v>
      </c>
      <c r="P276" t="s">
        <v>64</v>
      </c>
      <c r="W276" t="str">
        <f t="shared" si="118"/>
        <v>美國國會圖書分類法</v>
      </c>
      <c r="Y276" t="str">
        <f>("RG111")</f>
        <v>RG111</v>
      </c>
      <c r="Z276" t="str">
        <f t="shared" ref="Z276:Z286" si="122">("2018/08/11 13:34:10")</f>
        <v>2018/08/11 13:34:10</v>
      </c>
      <c r="AA276" t="str">
        <f t="shared" si="114"/>
        <v>catc</v>
      </c>
      <c r="AC276" t="str">
        <f>("M111")</f>
        <v>M111</v>
      </c>
      <c r="AE276" t="str">
        <f t="shared" ref="AE276:AE307" si="123">("c.1")</f>
        <v>c.1</v>
      </c>
      <c r="AF276" t="str">
        <f t="shared" si="119"/>
        <v>1.可借圖書</v>
      </c>
      <c r="AG276" t="str">
        <f t="shared" si="120"/>
        <v>在架</v>
      </c>
      <c r="AI276" t="s">
        <v>65</v>
      </c>
      <c r="AK276" t="str">
        <f t="shared" si="115"/>
        <v>一般(Normal)</v>
      </c>
      <c r="AO276" t="s">
        <v>65</v>
      </c>
      <c r="AS276" t="str">
        <f>("1998.")</f>
        <v>1998.</v>
      </c>
      <c r="AT276" t="str">
        <f t="shared" si="116"/>
        <v>catc</v>
      </c>
    </row>
    <row r="277" spans="1:46" x14ac:dyDescent="0.25">
      <c r="A277">
        <v>266</v>
      </c>
      <c r="B277" t="str">
        <f>("289188")</f>
        <v>289188</v>
      </c>
      <c r="C277" t="str">
        <f>("W00002302")</f>
        <v>W00002302</v>
      </c>
      <c r="D277" t="str">
        <f>("102 extra training games /")</f>
        <v>102 extra training games /</v>
      </c>
      <c r="E277" t="str">
        <f>("Kroehnert, Gary ")</f>
        <v xml:space="preserve">Kroehnert, Gary </v>
      </c>
      <c r="F277" t="str">
        <f>("McGraw-Hill,")</f>
        <v>McGraw-Hill,</v>
      </c>
      <c r="H277" t="str">
        <f t="shared" ref="H277:H340" si="124">("圖書 book")</f>
        <v>圖書 book</v>
      </c>
      <c r="I277" t="str">
        <f>("PZ4 K93 2000")</f>
        <v>PZ4 K93 2000</v>
      </c>
      <c r="J277" t="str">
        <f>("0074708023")</f>
        <v>0074708023</v>
      </c>
      <c r="K277" t="str">
        <f>("692")</f>
        <v>692</v>
      </c>
      <c r="L277" t="str">
        <f t="shared" si="113"/>
        <v>2001/10/10 00:00:00</v>
      </c>
      <c r="M277" t="str">
        <f t="shared" si="121"/>
        <v>2018/08/11 13:34:10</v>
      </c>
      <c r="N277" t="str">
        <f>("2000")</f>
        <v>2000</v>
      </c>
      <c r="O277" t="str">
        <f t="shared" si="117"/>
        <v>4F西文書庫 4F Western Language Books</v>
      </c>
      <c r="P277" t="s">
        <v>64</v>
      </c>
      <c r="W277" t="str">
        <f t="shared" si="118"/>
        <v>美國國會圖書分類法</v>
      </c>
      <c r="Y277" t="str">
        <f>("PZ4")</f>
        <v>PZ4</v>
      </c>
      <c r="Z277" t="str">
        <f t="shared" si="122"/>
        <v>2018/08/11 13:34:10</v>
      </c>
      <c r="AA277" t="str">
        <f t="shared" si="114"/>
        <v>catc</v>
      </c>
      <c r="AC277" t="str">
        <f>("K93")</f>
        <v>K93</v>
      </c>
      <c r="AE277" t="str">
        <f t="shared" si="123"/>
        <v>c.1</v>
      </c>
      <c r="AF277" t="str">
        <f t="shared" si="119"/>
        <v>1.可借圖書</v>
      </c>
      <c r="AG277" t="str">
        <f t="shared" si="120"/>
        <v>在架</v>
      </c>
      <c r="AI277" t="s">
        <v>65</v>
      </c>
      <c r="AK277" t="str">
        <f t="shared" si="115"/>
        <v>一般(Normal)</v>
      </c>
      <c r="AO277" t="s">
        <v>65</v>
      </c>
      <c r="AS277" t="str">
        <f>("c2000 ")</f>
        <v xml:space="preserve">c2000 </v>
      </c>
      <c r="AT277" t="str">
        <f t="shared" si="116"/>
        <v>catc</v>
      </c>
    </row>
    <row r="278" spans="1:46" x14ac:dyDescent="0.25">
      <c r="A278">
        <v>267</v>
      </c>
      <c r="B278" t="str">
        <f>("289189")</f>
        <v>289189</v>
      </c>
      <c r="C278" t="str">
        <f>("W00002303")</f>
        <v>W00002303</v>
      </c>
      <c r="D278" t="str">
        <f>("Broadribb's introductory pediatric nursing. ")</f>
        <v xml:space="preserve">Broadribb's introductory pediatric nursing. </v>
      </c>
      <c r="E278" t="str">
        <f>("Marks, Margaret G. ")</f>
        <v xml:space="preserve">Marks, Margaret G. </v>
      </c>
      <c r="F278" t="str">
        <f>("Lippincott-Raven,")</f>
        <v>Lippincott-Raven,</v>
      </c>
      <c r="G278" t="str">
        <f>("5th ed. / / Margaret G. Marks. ")</f>
        <v xml:space="preserve">5th ed. / / Margaret G. Marks. </v>
      </c>
      <c r="H278" t="str">
        <f t="shared" si="124"/>
        <v>圖書 book</v>
      </c>
      <c r="I278" t="str">
        <f>("RJ245 M345 1998")</f>
        <v>RJ245 M345 1998</v>
      </c>
      <c r="J278" t="str">
        <f>("0397554508")</f>
        <v>0397554508</v>
      </c>
      <c r="K278" t="str">
        <f>("840")</f>
        <v>840</v>
      </c>
      <c r="L278" t="str">
        <f t="shared" si="113"/>
        <v>2001/10/10 00:00:00</v>
      </c>
      <c r="M278" t="str">
        <f t="shared" si="121"/>
        <v>2018/08/11 13:34:10</v>
      </c>
      <c r="N278" t="str">
        <f>("1998")</f>
        <v>1998</v>
      </c>
      <c r="O278" t="str">
        <f t="shared" si="117"/>
        <v>4F西文書庫 4F Western Language Books</v>
      </c>
      <c r="P278" t="s">
        <v>64</v>
      </c>
      <c r="W278" t="str">
        <f t="shared" si="118"/>
        <v>美國國會圖書分類法</v>
      </c>
      <c r="Y278" t="str">
        <f>("RJ245")</f>
        <v>RJ245</v>
      </c>
      <c r="Z278" t="str">
        <f t="shared" si="122"/>
        <v>2018/08/11 13:34:10</v>
      </c>
      <c r="AA278" t="str">
        <f t="shared" si="114"/>
        <v>catc</v>
      </c>
      <c r="AC278" t="str">
        <f>("M345")</f>
        <v>M345</v>
      </c>
      <c r="AE278" t="str">
        <f t="shared" si="123"/>
        <v>c.1</v>
      </c>
      <c r="AF278" t="str">
        <f t="shared" si="119"/>
        <v>1.可借圖書</v>
      </c>
      <c r="AG278" t="str">
        <f t="shared" si="120"/>
        <v>在架</v>
      </c>
      <c r="AI278" t="s">
        <v>65</v>
      </c>
      <c r="AK278" t="str">
        <f t="shared" si="115"/>
        <v>一般(Normal)</v>
      </c>
      <c r="AO278" t="s">
        <v>65</v>
      </c>
      <c r="AS278" t="str">
        <f>("c1998. ")</f>
        <v xml:space="preserve">c1998. </v>
      </c>
      <c r="AT278" t="str">
        <f t="shared" si="116"/>
        <v>catc</v>
      </c>
    </row>
    <row r="279" spans="1:46" x14ac:dyDescent="0.25">
      <c r="A279">
        <v>268</v>
      </c>
      <c r="B279" t="str">
        <f>("289190")</f>
        <v>289190</v>
      </c>
      <c r="C279" t="str">
        <f>("W00002304")</f>
        <v>W00002304</v>
      </c>
      <c r="D279" t="str">
        <f>("Exploring research /")</f>
        <v>Exploring research /</v>
      </c>
      <c r="E279" t="str">
        <f>("Salkind, Neil J. ")</f>
        <v xml:space="preserve">Salkind, Neil J. </v>
      </c>
      <c r="F279" t="str">
        <f>("Prentice Hall,")</f>
        <v>Prentice Hall,</v>
      </c>
      <c r="G279" t="str">
        <f>("4th ed. ")</f>
        <v xml:space="preserve">4th ed. </v>
      </c>
      <c r="H279" t="str">
        <f t="shared" si="124"/>
        <v>圖書 book</v>
      </c>
      <c r="I279" t="str">
        <f>("BF76.5 S159 2000")</f>
        <v>BF76.5 S159 2000</v>
      </c>
      <c r="J279" t="str">
        <f>("0130831549")</f>
        <v>0130831549</v>
      </c>
      <c r="K279" t="str">
        <f>("1440")</f>
        <v>1440</v>
      </c>
      <c r="L279" t="str">
        <f t="shared" si="113"/>
        <v>2001/10/10 00:00:00</v>
      </c>
      <c r="M279" t="str">
        <f t="shared" si="121"/>
        <v>2018/08/11 13:34:10</v>
      </c>
      <c r="N279" t="str">
        <f>("2000")</f>
        <v>2000</v>
      </c>
      <c r="O279" t="str">
        <f>("罕用書庫1-洽櫃台填單 Upon-Request Collection1 fil")</f>
        <v>罕用書庫1-洽櫃台填單 Upon-Request Collection1 fil</v>
      </c>
      <c r="P279" t="s">
        <v>64</v>
      </c>
      <c r="S279" t="str">
        <f>("336p.")</f>
        <v>336p.</v>
      </c>
      <c r="U279" t="str">
        <f>("27 cm. ")</f>
        <v xml:space="preserve">27 cm. </v>
      </c>
      <c r="W279" t="str">
        <f t="shared" si="118"/>
        <v>美國國會圖書分類法</v>
      </c>
      <c r="Y279" t="str">
        <f>("BF76.5")</f>
        <v>BF76.5</v>
      </c>
      <c r="Z279" t="str">
        <f t="shared" si="122"/>
        <v>2018/08/11 13:34:10</v>
      </c>
      <c r="AA279" t="str">
        <f t="shared" si="114"/>
        <v>catc</v>
      </c>
      <c r="AC279" t="str">
        <f>("S159")</f>
        <v>S159</v>
      </c>
      <c r="AE279" t="str">
        <f t="shared" si="123"/>
        <v>c.1</v>
      </c>
      <c r="AF279" t="str">
        <f>("不流通")</f>
        <v>不流通</v>
      </c>
      <c r="AG279" t="str">
        <f>("報銷中")</f>
        <v>報銷中</v>
      </c>
      <c r="AI279" t="s">
        <v>65</v>
      </c>
      <c r="AK279" t="str">
        <f t="shared" si="115"/>
        <v>一般(Normal)</v>
      </c>
      <c r="AO279" t="s">
        <v>65</v>
      </c>
      <c r="AS279" t="str">
        <f>("2000. ")</f>
        <v xml:space="preserve">2000. </v>
      </c>
      <c r="AT279" t="str">
        <f t="shared" si="116"/>
        <v>catc</v>
      </c>
    </row>
    <row r="280" spans="1:46" x14ac:dyDescent="0.25">
      <c r="A280">
        <v>269</v>
      </c>
      <c r="B280" t="str">
        <f>("289170")</f>
        <v>289170</v>
      </c>
      <c r="C280" t="str">
        <f>("W00002305")</f>
        <v>W00002305</v>
      </c>
      <c r="D280" t="str">
        <f>("Essentials of psychology /")</f>
        <v>Essentials of psychology /</v>
      </c>
      <c r="E280" t="str">
        <f>("Rathus, Spencer A. ")</f>
        <v xml:space="preserve">Rathus, Spencer A. </v>
      </c>
      <c r="F280" t="str">
        <f>("Harcourt Brace College Publishers,")</f>
        <v>Harcourt Brace College Publishers,</v>
      </c>
      <c r="G280" t="str">
        <f>("5th ed. ")</f>
        <v xml:space="preserve">5th ed. </v>
      </c>
      <c r="H280" t="str">
        <f t="shared" si="124"/>
        <v>圖書 book</v>
      </c>
      <c r="I280" t="str">
        <f>("BF12 R234 1997")</f>
        <v>BF12 R234 1997</v>
      </c>
      <c r="J280" t="str">
        <f>("0155037315")</f>
        <v>0155037315</v>
      </c>
      <c r="K280" t="str">
        <f>("1498")</f>
        <v>1498</v>
      </c>
      <c r="L280" t="str">
        <f t="shared" si="113"/>
        <v>2001/10/10 00:00:00</v>
      </c>
      <c r="M280" t="str">
        <f t="shared" si="121"/>
        <v>2018/08/11 13:34:10</v>
      </c>
      <c r="N280" t="str">
        <f>("1997")</f>
        <v>1997</v>
      </c>
      <c r="O280" t="str">
        <f t="shared" ref="O280:O311" si="125">("4F西文書庫 4F Western Language Books")</f>
        <v>4F西文書庫 4F Western Language Books</v>
      </c>
      <c r="P280" t="s">
        <v>64</v>
      </c>
      <c r="W280" t="str">
        <f t="shared" si="118"/>
        <v>美國國會圖書分類法</v>
      </c>
      <c r="Y280" t="str">
        <f>("BF12")</f>
        <v>BF12</v>
      </c>
      <c r="Z280" t="str">
        <f t="shared" si="122"/>
        <v>2018/08/11 13:34:10</v>
      </c>
      <c r="AA280" t="str">
        <f t="shared" si="114"/>
        <v>catc</v>
      </c>
      <c r="AC280" t="str">
        <f>("R234")</f>
        <v>R234</v>
      </c>
      <c r="AE280" t="str">
        <f t="shared" si="123"/>
        <v>c.1</v>
      </c>
      <c r="AF280" t="str">
        <f t="shared" ref="AF280:AF311" si="126">("1.可借圖書")</f>
        <v>1.可借圖書</v>
      </c>
      <c r="AG280" t="str">
        <f t="shared" ref="AG280:AG311" si="127">("在架")</f>
        <v>在架</v>
      </c>
      <c r="AI280" t="s">
        <v>65</v>
      </c>
      <c r="AK280" t="str">
        <f t="shared" si="115"/>
        <v>一般(Normal)</v>
      </c>
      <c r="AO280" t="s">
        <v>65</v>
      </c>
      <c r="AS280" t="str">
        <f>("c1997. ")</f>
        <v xml:space="preserve">c1997. </v>
      </c>
      <c r="AT280" t="str">
        <f t="shared" si="116"/>
        <v>catc</v>
      </c>
    </row>
    <row r="281" spans="1:46" x14ac:dyDescent="0.25">
      <c r="A281">
        <v>270</v>
      </c>
      <c r="B281" t="str">
        <f>("289171")</f>
        <v>289171</v>
      </c>
      <c r="C281" t="str">
        <f>("W00002306")</f>
        <v>W00002306</v>
      </c>
      <c r="D281" t="str">
        <f>("Community counseling :empowerment strategies for a diverse society /")</f>
        <v>Community counseling :empowerment strategies for a diverse society /</v>
      </c>
      <c r="E281" t="str">
        <f>("Lewis, Judith A.,1939- ")</f>
        <v xml:space="preserve">Lewis, Judith A.,1939- </v>
      </c>
      <c r="F281" t="str">
        <f>("Brooks/Cole Pub. Co.")</f>
        <v>Brooks/Cole Pub. Co.</v>
      </c>
      <c r="G281" t="str">
        <f>("2nd ed. ")</f>
        <v xml:space="preserve">2nd ed. </v>
      </c>
      <c r="H281" t="str">
        <f t="shared" si="124"/>
        <v>圖書 book</v>
      </c>
      <c r="I281" t="str">
        <f>("RA790.5 L673 1998")</f>
        <v>RA790.5 L673 1998</v>
      </c>
      <c r="J281" t="str">
        <f>("0534258549")</f>
        <v>0534258549</v>
      </c>
      <c r="K281" t="str">
        <f>("1498")</f>
        <v>1498</v>
      </c>
      <c r="L281" t="str">
        <f t="shared" si="113"/>
        <v>2001/10/10 00:00:00</v>
      </c>
      <c r="M281" t="str">
        <f t="shared" si="121"/>
        <v>2018/08/11 13:34:10</v>
      </c>
      <c r="N281" t="str">
        <f>("1998")</f>
        <v>1998</v>
      </c>
      <c r="O281" t="str">
        <f t="shared" si="125"/>
        <v>4F西文書庫 4F Western Language Books</v>
      </c>
      <c r="P281" t="s">
        <v>64</v>
      </c>
      <c r="W281" t="str">
        <f t="shared" si="118"/>
        <v>美國國會圖書分類法</v>
      </c>
      <c r="Y281" t="str">
        <f>("RA790.5")</f>
        <v>RA790.5</v>
      </c>
      <c r="Z281" t="str">
        <f t="shared" si="122"/>
        <v>2018/08/11 13:34:10</v>
      </c>
      <c r="AA281" t="str">
        <f t="shared" si="114"/>
        <v>catc</v>
      </c>
      <c r="AC281" t="str">
        <f>("L673")</f>
        <v>L673</v>
      </c>
      <c r="AE281" t="str">
        <f t="shared" si="123"/>
        <v>c.1</v>
      </c>
      <c r="AF281" t="str">
        <f t="shared" si="126"/>
        <v>1.可借圖書</v>
      </c>
      <c r="AG281" t="str">
        <f t="shared" si="127"/>
        <v>在架</v>
      </c>
      <c r="AI281" t="s">
        <v>65</v>
      </c>
      <c r="AK281" t="str">
        <f t="shared" si="115"/>
        <v>一般(Normal)</v>
      </c>
      <c r="AO281" t="s">
        <v>65</v>
      </c>
      <c r="AS281" t="str">
        <f>("c1998. ")</f>
        <v xml:space="preserve">c1998. </v>
      </c>
      <c r="AT281" t="str">
        <f t="shared" si="116"/>
        <v>catc</v>
      </c>
    </row>
    <row r="282" spans="1:46" x14ac:dyDescent="0.25">
      <c r="A282">
        <v>271</v>
      </c>
      <c r="B282" t="str">
        <f>("289172")</f>
        <v>289172</v>
      </c>
      <c r="C282" t="str">
        <f>("W00002307")</f>
        <v>W00002307</v>
      </c>
      <c r="D282" t="str">
        <f>("Kids killing kids :managing violence and gangs in schools /")</f>
        <v>Kids killing kids :managing violence and gangs in schools /</v>
      </c>
      <c r="E282" t="str">
        <f>("Capozzoli, Thomas. ")</f>
        <v xml:space="preserve">Capozzoli, Thomas. </v>
      </c>
      <c r="F282" t="str">
        <f>("St. Lucie Press,")</f>
        <v>St. Lucie Press,</v>
      </c>
      <c r="H282" t="str">
        <f t="shared" si="124"/>
        <v>圖書 book</v>
      </c>
      <c r="I282" t="str">
        <f>("LB3013.3 C245 2000")</f>
        <v>LB3013.3 C245 2000</v>
      </c>
      <c r="J282" t="str">
        <f>("157444283X")</f>
        <v>157444283X</v>
      </c>
      <c r="K282" t="str">
        <f>("876")</f>
        <v>876</v>
      </c>
      <c r="L282" t="str">
        <f t="shared" si="113"/>
        <v>2001/10/10 00:00:00</v>
      </c>
      <c r="M282" t="str">
        <f t="shared" si="121"/>
        <v>2018/08/11 13:34:10</v>
      </c>
      <c r="N282" t="str">
        <f>("2000")</f>
        <v>2000</v>
      </c>
      <c r="O282" t="str">
        <f t="shared" si="125"/>
        <v>4F西文書庫 4F Western Language Books</v>
      </c>
      <c r="P282" t="s">
        <v>64</v>
      </c>
      <c r="W282" t="str">
        <f t="shared" si="118"/>
        <v>美國國會圖書分類法</v>
      </c>
      <c r="Y282" t="str">
        <f>("LB3013.3")</f>
        <v>LB3013.3</v>
      </c>
      <c r="Z282" t="str">
        <f t="shared" si="122"/>
        <v>2018/08/11 13:34:10</v>
      </c>
      <c r="AA282" t="str">
        <f t="shared" si="114"/>
        <v>catc</v>
      </c>
      <c r="AC282" t="str">
        <f>("C245")</f>
        <v>C245</v>
      </c>
      <c r="AE282" t="str">
        <f t="shared" si="123"/>
        <v>c.1</v>
      </c>
      <c r="AF282" t="str">
        <f t="shared" si="126"/>
        <v>1.可借圖書</v>
      </c>
      <c r="AG282" t="str">
        <f t="shared" si="127"/>
        <v>在架</v>
      </c>
      <c r="AI282" t="s">
        <v>65</v>
      </c>
      <c r="AK282" t="str">
        <f t="shared" si="115"/>
        <v>一般(Normal)</v>
      </c>
      <c r="AO282" t="s">
        <v>65</v>
      </c>
      <c r="AS282" t="str">
        <f>("1999. ")</f>
        <v xml:space="preserve">1999. </v>
      </c>
      <c r="AT282" t="str">
        <f t="shared" si="116"/>
        <v>catc</v>
      </c>
    </row>
    <row r="283" spans="1:46" x14ac:dyDescent="0.25">
      <c r="A283">
        <v>272</v>
      </c>
      <c r="B283" t="str">
        <f>("289173")</f>
        <v>289173</v>
      </c>
      <c r="C283" t="str">
        <f>("W00002308")</f>
        <v>W00002308</v>
      </c>
      <c r="D283" t="str">
        <f>("Creativity:in education and learning /")</f>
        <v>Creativity:in education and learning /</v>
      </c>
      <c r="E283" t="str">
        <f>("Cropley arthur J.")</f>
        <v>Cropley arthur J.</v>
      </c>
      <c r="F283" t="str">
        <f>("Kogan Page,")</f>
        <v>Kogan Page,</v>
      </c>
      <c r="H283" t="str">
        <f t="shared" si="124"/>
        <v>圖書 book</v>
      </c>
      <c r="I283" t="str">
        <f>("HF5823 C937 2001")</f>
        <v>HF5823 C937 2001</v>
      </c>
      <c r="J283" t="str">
        <f>("0749434473")</f>
        <v>0749434473</v>
      </c>
      <c r="K283" t="str">
        <f>("708")</f>
        <v>708</v>
      </c>
      <c r="L283" t="str">
        <f t="shared" si="113"/>
        <v>2001/10/10 00:00:00</v>
      </c>
      <c r="M283" t="str">
        <f t="shared" si="121"/>
        <v>2018/08/11 13:34:10</v>
      </c>
      <c r="N283" t="str">
        <f>("2001")</f>
        <v>2001</v>
      </c>
      <c r="O283" t="str">
        <f t="shared" si="125"/>
        <v>4F西文書庫 4F Western Language Books</v>
      </c>
      <c r="P283" t="s">
        <v>64</v>
      </c>
      <c r="W283" t="str">
        <f t="shared" si="118"/>
        <v>美國國會圖書分類法</v>
      </c>
      <c r="Y283" t="str">
        <f>("HF5823")</f>
        <v>HF5823</v>
      </c>
      <c r="Z283" t="str">
        <f t="shared" si="122"/>
        <v>2018/08/11 13:34:10</v>
      </c>
      <c r="AA283" t="str">
        <f t="shared" si="114"/>
        <v>catc</v>
      </c>
      <c r="AC283" t="str">
        <f>("C937")</f>
        <v>C937</v>
      </c>
      <c r="AE283" t="str">
        <f t="shared" si="123"/>
        <v>c.1</v>
      </c>
      <c r="AF283" t="str">
        <f t="shared" si="126"/>
        <v>1.可借圖書</v>
      </c>
      <c r="AG283" t="str">
        <f t="shared" si="127"/>
        <v>在架</v>
      </c>
      <c r="AI283" t="s">
        <v>65</v>
      </c>
      <c r="AK283" t="str">
        <f t="shared" si="115"/>
        <v>一般(Normal)</v>
      </c>
      <c r="AO283" t="s">
        <v>65</v>
      </c>
      <c r="AS283" t="str">
        <f>("2001.")</f>
        <v>2001.</v>
      </c>
      <c r="AT283" t="str">
        <f t="shared" si="116"/>
        <v>catc</v>
      </c>
    </row>
    <row r="284" spans="1:46" x14ac:dyDescent="0.25">
      <c r="A284">
        <v>273</v>
      </c>
      <c r="B284" t="str">
        <f>("289174")</f>
        <v>289174</v>
      </c>
      <c r="C284" t="str">
        <f>("W00002309")</f>
        <v>W00002309</v>
      </c>
      <c r="D284" t="str">
        <f>("The life story interview /")</f>
        <v>The life story interview /</v>
      </c>
      <c r="E284" t="str">
        <f>("Atkinson, Robert,1945- ")</f>
        <v xml:space="preserve">Atkinson, Robert,1945- </v>
      </c>
      <c r="F284" t="str">
        <f>("Sage Publications,")</f>
        <v>Sage Publications,</v>
      </c>
      <c r="H284" t="str">
        <f t="shared" si="124"/>
        <v>圖書 book</v>
      </c>
      <c r="I284" t="str">
        <f>("GR72.3 A875 1998")</f>
        <v>GR72.3 A875 1998</v>
      </c>
      <c r="J284" t="str">
        <f>("0761904271")</f>
        <v>0761904271</v>
      </c>
      <c r="K284" t="str">
        <f>("764")</f>
        <v>764</v>
      </c>
      <c r="L284" t="str">
        <f t="shared" si="113"/>
        <v>2001/10/10 00:00:00</v>
      </c>
      <c r="M284" t="str">
        <f t="shared" si="121"/>
        <v>2018/08/11 13:34:10</v>
      </c>
      <c r="N284" t="str">
        <f>("1998")</f>
        <v>1998</v>
      </c>
      <c r="O284" t="str">
        <f t="shared" si="125"/>
        <v>4F西文書庫 4F Western Language Books</v>
      </c>
      <c r="P284" t="s">
        <v>64</v>
      </c>
      <c r="W284" t="str">
        <f t="shared" si="118"/>
        <v>美國國會圖書分類法</v>
      </c>
      <c r="Y284" t="str">
        <f>("GR72.3")</f>
        <v>GR72.3</v>
      </c>
      <c r="Z284" t="str">
        <f t="shared" si="122"/>
        <v>2018/08/11 13:34:10</v>
      </c>
      <c r="AA284" t="str">
        <f t="shared" si="114"/>
        <v>catc</v>
      </c>
      <c r="AC284" t="str">
        <f>("A875")</f>
        <v>A875</v>
      </c>
      <c r="AE284" t="str">
        <f t="shared" si="123"/>
        <v>c.1</v>
      </c>
      <c r="AF284" t="str">
        <f t="shared" si="126"/>
        <v>1.可借圖書</v>
      </c>
      <c r="AG284" t="str">
        <f t="shared" si="127"/>
        <v>在架</v>
      </c>
      <c r="AI284" t="s">
        <v>65</v>
      </c>
      <c r="AK284" t="str">
        <f t="shared" si="115"/>
        <v>一般(Normal)</v>
      </c>
      <c r="AO284" t="s">
        <v>65</v>
      </c>
      <c r="AS284" t="str">
        <f>("c1998. ")</f>
        <v xml:space="preserve">c1998. </v>
      </c>
      <c r="AT284" t="str">
        <f t="shared" si="116"/>
        <v>catc</v>
      </c>
    </row>
    <row r="285" spans="1:46" x14ac:dyDescent="0.25">
      <c r="A285">
        <v>274</v>
      </c>
      <c r="B285" t="str">
        <f>("289175")</f>
        <v>289175</v>
      </c>
      <c r="C285" t="str">
        <f>("W00002310")</f>
        <v>W00002310</v>
      </c>
      <c r="D285" t="str">
        <f>("Human cross-sectional anatomy :pocket atlas of body sections and CT images /")</f>
        <v>Human cross-sectional anatomy :pocket atlas of body sections and CT images /</v>
      </c>
      <c r="E285" t="str">
        <f>("Ellis, Harold,1926- ")</f>
        <v xml:space="preserve">Ellis, Harold,1926- </v>
      </c>
      <c r="F285" t="str">
        <f>("Butterworth-Heinemann,")</f>
        <v>Butterworth-Heinemann,</v>
      </c>
      <c r="H285" t="str">
        <f t="shared" si="124"/>
        <v>圖書 book</v>
      </c>
      <c r="I285" t="str">
        <f>("QM25 E47 1995")</f>
        <v>QM25 E47 1995</v>
      </c>
      <c r="J285" t="str">
        <f>("0750620285;075061241X")</f>
        <v>0750620285;075061241X</v>
      </c>
      <c r="K285" t="str">
        <f>("704")</f>
        <v>704</v>
      </c>
      <c r="L285" t="str">
        <f t="shared" si="113"/>
        <v>2001/10/10 00:00:00</v>
      </c>
      <c r="M285" t="str">
        <f t="shared" si="121"/>
        <v>2018/08/11 13:34:10</v>
      </c>
      <c r="N285" t="str">
        <f>("1995")</f>
        <v>1995</v>
      </c>
      <c r="O285" t="str">
        <f t="shared" si="125"/>
        <v>4F西文書庫 4F Western Language Books</v>
      </c>
      <c r="P285" t="s">
        <v>64</v>
      </c>
      <c r="W285" t="str">
        <f t="shared" si="118"/>
        <v>美國國會圖書分類法</v>
      </c>
      <c r="Y285" t="str">
        <f>("QM25")</f>
        <v>QM25</v>
      </c>
      <c r="Z285" t="str">
        <f t="shared" si="122"/>
        <v>2018/08/11 13:34:10</v>
      </c>
      <c r="AA285" t="str">
        <f t="shared" si="114"/>
        <v>catc</v>
      </c>
      <c r="AC285" t="str">
        <f>("E47")</f>
        <v>E47</v>
      </c>
      <c r="AE285" t="str">
        <f t="shared" si="123"/>
        <v>c.1</v>
      </c>
      <c r="AF285" t="str">
        <f t="shared" si="126"/>
        <v>1.可借圖書</v>
      </c>
      <c r="AG285" t="str">
        <f t="shared" si="127"/>
        <v>在架</v>
      </c>
      <c r="AI285" t="s">
        <v>65</v>
      </c>
      <c r="AK285" t="str">
        <f t="shared" si="115"/>
        <v>一般(Normal)</v>
      </c>
      <c r="AO285" t="s">
        <v>65</v>
      </c>
      <c r="AS285" t="str">
        <f>("1994. ")</f>
        <v xml:space="preserve">1994. </v>
      </c>
      <c r="AT285" t="str">
        <f t="shared" si="116"/>
        <v>catc</v>
      </c>
    </row>
    <row r="286" spans="1:46" x14ac:dyDescent="0.25">
      <c r="A286">
        <v>275</v>
      </c>
      <c r="B286" t="str">
        <f>("289176")</f>
        <v>289176</v>
      </c>
      <c r="C286" t="str">
        <f>("W00002311")</f>
        <v>W00002311</v>
      </c>
      <c r="D286" t="str">
        <f>("Money-tree marketing :innovative secrets that will double your small-business profits in 90 days or less /")</f>
        <v>Money-tree marketing :innovative secrets that will double your small-business profits in 90 days or less /</v>
      </c>
      <c r="E286" t="str">
        <f>("Bishop, Patrick,1958- ")</f>
        <v xml:space="preserve">Bishop, Patrick,1958- </v>
      </c>
      <c r="F286" t="str">
        <f>("Amacom,")</f>
        <v>Amacom,</v>
      </c>
      <c r="H286" t="str">
        <f t="shared" si="124"/>
        <v>圖書 book</v>
      </c>
      <c r="I286" t="str">
        <f>("HF5415 B622 2000")</f>
        <v>HF5415 B622 2000</v>
      </c>
      <c r="J286" t="str">
        <f>("0814470556")</f>
        <v>0814470556</v>
      </c>
      <c r="K286" t="str">
        <f>("560")</f>
        <v>560</v>
      </c>
      <c r="L286" t="str">
        <f t="shared" si="113"/>
        <v>2001/10/10 00:00:00</v>
      </c>
      <c r="M286" t="str">
        <f t="shared" si="121"/>
        <v>2018/08/11 13:34:10</v>
      </c>
      <c r="N286" t="str">
        <f>("2000")</f>
        <v>2000</v>
      </c>
      <c r="O286" t="str">
        <f t="shared" si="125"/>
        <v>4F西文書庫 4F Western Language Books</v>
      </c>
      <c r="P286" t="s">
        <v>64</v>
      </c>
      <c r="W286" t="str">
        <f t="shared" si="118"/>
        <v>美國國會圖書分類法</v>
      </c>
      <c r="Y286" t="str">
        <f>("HF5415")</f>
        <v>HF5415</v>
      </c>
      <c r="Z286" t="str">
        <f t="shared" si="122"/>
        <v>2018/08/11 13:34:10</v>
      </c>
      <c r="AA286" t="str">
        <f t="shared" si="114"/>
        <v>catc</v>
      </c>
      <c r="AC286" t="str">
        <f>("B622")</f>
        <v>B622</v>
      </c>
      <c r="AE286" t="str">
        <f t="shared" si="123"/>
        <v>c.1</v>
      </c>
      <c r="AF286" t="str">
        <f t="shared" si="126"/>
        <v>1.可借圖書</v>
      </c>
      <c r="AG286" t="str">
        <f t="shared" si="127"/>
        <v>在架</v>
      </c>
      <c r="AI286" t="s">
        <v>65</v>
      </c>
      <c r="AK286" t="str">
        <f t="shared" si="115"/>
        <v>一般(Normal)</v>
      </c>
      <c r="AO286" t="s">
        <v>65</v>
      </c>
      <c r="AS286" t="str">
        <f>("2001. ")</f>
        <v xml:space="preserve">2001. </v>
      </c>
      <c r="AT286" t="str">
        <f t="shared" si="116"/>
        <v>catc</v>
      </c>
    </row>
    <row r="287" spans="1:46" x14ac:dyDescent="0.25">
      <c r="A287">
        <v>276</v>
      </c>
      <c r="B287" t="str">
        <f>("289177")</f>
        <v>289177</v>
      </c>
      <c r="C287" t="str">
        <f>("W00002312")</f>
        <v>W00002312</v>
      </c>
      <c r="D287" t="str">
        <f>("The eternal e-customer :how emotionally intelligent interfaces can create long-lasting customer relationships /")</f>
        <v>The eternal e-customer :how emotionally intelligent interfaces can create long-lasting customer relationships /</v>
      </c>
      <c r="E287" t="str">
        <f>("Bergeron, Bryan P. ")</f>
        <v xml:space="preserve">Bergeron, Bryan P. </v>
      </c>
      <c r="F287" t="str">
        <f>("McGraw-Hill,")</f>
        <v>McGraw-Hill,</v>
      </c>
      <c r="H287" t="str">
        <f t="shared" si="124"/>
        <v>圖書 book</v>
      </c>
      <c r="I287" t="str">
        <f>("HF5415.525 B496 2001")</f>
        <v>HF5415.525 B496 2001</v>
      </c>
      <c r="J287" t="str">
        <f>("007136479X")</f>
        <v>007136479X</v>
      </c>
      <c r="K287" t="str">
        <f>("828")</f>
        <v>828</v>
      </c>
      <c r="L287" t="str">
        <f t="shared" si="113"/>
        <v>2001/10/10 00:00:00</v>
      </c>
      <c r="M287" t="str">
        <f t="shared" ref="M287:M296" si="128">("2018/08/11 13:34:11")</f>
        <v>2018/08/11 13:34:11</v>
      </c>
      <c r="N287" t="str">
        <f>("2001")</f>
        <v>2001</v>
      </c>
      <c r="O287" t="str">
        <f t="shared" si="125"/>
        <v>4F西文書庫 4F Western Language Books</v>
      </c>
      <c r="P287" t="s">
        <v>64</v>
      </c>
      <c r="W287" t="str">
        <f t="shared" si="118"/>
        <v>美國國會圖書分類法</v>
      </c>
      <c r="Y287" t="str">
        <f>("HF5415.525")</f>
        <v>HF5415.525</v>
      </c>
      <c r="Z287" t="str">
        <f t="shared" ref="Z287:Z296" si="129">("2018/08/11 13:34:11")</f>
        <v>2018/08/11 13:34:11</v>
      </c>
      <c r="AA287" t="str">
        <f t="shared" si="114"/>
        <v>catc</v>
      </c>
      <c r="AC287" t="str">
        <f>("B496")</f>
        <v>B496</v>
      </c>
      <c r="AE287" t="str">
        <f t="shared" si="123"/>
        <v>c.1</v>
      </c>
      <c r="AF287" t="str">
        <f t="shared" si="126"/>
        <v>1.可借圖書</v>
      </c>
      <c r="AG287" t="str">
        <f t="shared" si="127"/>
        <v>在架</v>
      </c>
      <c r="AI287" t="s">
        <v>65</v>
      </c>
      <c r="AK287" t="str">
        <f t="shared" si="115"/>
        <v>一般(Normal)</v>
      </c>
      <c r="AO287" t="s">
        <v>65</v>
      </c>
      <c r="AS287" t="str">
        <f>("c2001. ")</f>
        <v xml:space="preserve">c2001. </v>
      </c>
      <c r="AT287" t="str">
        <f t="shared" si="116"/>
        <v>catc</v>
      </c>
    </row>
    <row r="288" spans="1:46" x14ac:dyDescent="0.25">
      <c r="A288">
        <v>277</v>
      </c>
      <c r="B288" t="str">
        <f>("289191")</f>
        <v>289191</v>
      </c>
      <c r="C288" t="str">
        <f>("W00002313")</f>
        <v>W00002313</v>
      </c>
      <c r="D288" t="str">
        <f>("Handbook of psychological testing /")</f>
        <v>Handbook of psychological testing /</v>
      </c>
      <c r="E288" t="str">
        <f>("Kline, Paul.")</f>
        <v>Kline, Paul.</v>
      </c>
      <c r="F288" t="str">
        <f>("Routledge,")</f>
        <v>Routledge,</v>
      </c>
      <c r="G288" t="str">
        <f>("2nd ed.")</f>
        <v>2nd ed.</v>
      </c>
      <c r="H288" t="str">
        <f t="shared" si="124"/>
        <v>圖書 book</v>
      </c>
      <c r="I288" t="str">
        <f>("BF176 K575 2000")</f>
        <v>BF176 K575 2000</v>
      </c>
      <c r="J288" t="str">
        <f>("0415211581")</f>
        <v>0415211581</v>
      </c>
      <c r="K288" t="str">
        <f>("1484")</f>
        <v>1484</v>
      </c>
      <c r="L288" t="str">
        <f t="shared" si="113"/>
        <v>2001/10/10 00:00:00</v>
      </c>
      <c r="M288" t="str">
        <f t="shared" si="128"/>
        <v>2018/08/11 13:34:11</v>
      </c>
      <c r="N288" t="str">
        <f>("2000")</f>
        <v>2000</v>
      </c>
      <c r="O288" t="str">
        <f t="shared" si="125"/>
        <v>4F西文書庫 4F Western Language Books</v>
      </c>
      <c r="P288" t="s">
        <v>64</v>
      </c>
      <c r="W288" t="str">
        <f t="shared" si="118"/>
        <v>美國國會圖書分類法</v>
      </c>
      <c r="Y288" t="str">
        <f>("BF176")</f>
        <v>BF176</v>
      </c>
      <c r="Z288" t="str">
        <f t="shared" si="129"/>
        <v>2018/08/11 13:34:11</v>
      </c>
      <c r="AA288" t="str">
        <f t="shared" si="114"/>
        <v>catc</v>
      </c>
      <c r="AC288" t="str">
        <f>("K575")</f>
        <v>K575</v>
      </c>
      <c r="AE288" t="str">
        <f t="shared" si="123"/>
        <v>c.1</v>
      </c>
      <c r="AF288" t="str">
        <f t="shared" si="126"/>
        <v>1.可借圖書</v>
      </c>
      <c r="AG288" t="str">
        <f t="shared" si="127"/>
        <v>在架</v>
      </c>
      <c r="AI288" t="s">
        <v>65</v>
      </c>
      <c r="AK288" t="str">
        <f t="shared" si="115"/>
        <v>一般(Normal)</v>
      </c>
      <c r="AO288" t="s">
        <v>65</v>
      </c>
      <c r="AS288" t="str">
        <f>("c2000.")</f>
        <v>c2000.</v>
      </c>
      <c r="AT288" t="str">
        <f t="shared" si="116"/>
        <v>catc</v>
      </c>
    </row>
    <row r="289" spans="1:46" x14ac:dyDescent="0.25">
      <c r="A289">
        <v>278</v>
      </c>
      <c r="B289" t="str">
        <f>("289192")</f>
        <v>289192</v>
      </c>
      <c r="C289" t="str">
        <f>("W00002314")</f>
        <v>W00002314</v>
      </c>
      <c r="D289" t="str">
        <f>("The HR scorecard :linking people, strategy, and performance /")</f>
        <v>The HR scorecard :linking people, strategy, and performance /</v>
      </c>
      <c r="E289" t="str">
        <f>("Becker, Brian E. ")</f>
        <v xml:space="preserve">Becker, Brian E. </v>
      </c>
      <c r="F289" t="str">
        <f>("Harvard Business School Press,")</f>
        <v>Harvard Business School Press,</v>
      </c>
      <c r="H289" t="str">
        <f t="shared" si="124"/>
        <v>圖書 book</v>
      </c>
      <c r="I289" t="str">
        <f>("HD58.9 B395 2001")</f>
        <v>HD58.9 B395 2001</v>
      </c>
      <c r="J289" t="str">
        <f>("1578511364")</f>
        <v>1578511364</v>
      </c>
      <c r="K289" t="str">
        <f>("888")</f>
        <v>888</v>
      </c>
      <c r="L289" t="str">
        <f t="shared" si="113"/>
        <v>2001/10/10 00:00:00</v>
      </c>
      <c r="M289" t="str">
        <f t="shared" si="128"/>
        <v>2018/08/11 13:34:11</v>
      </c>
      <c r="N289" t="str">
        <f>("2001")</f>
        <v>2001</v>
      </c>
      <c r="O289" t="str">
        <f t="shared" si="125"/>
        <v>4F西文書庫 4F Western Language Books</v>
      </c>
      <c r="P289" t="s">
        <v>64</v>
      </c>
      <c r="W289" t="str">
        <f t="shared" si="118"/>
        <v>美國國會圖書分類法</v>
      </c>
      <c r="Y289" t="str">
        <f>("HD58.9")</f>
        <v>HD58.9</v>
      </c>
      <c r="Z289" t="str">
        <f t="shared" si="129"/>
        <v>2018/08/11 13:34:11</v>
      </c>
      <c r="AA289" t="str">
        <f t="shared" si="114"/>
        <v>catc</v>
      </c>
      <c r="AC289" t="str">
        <f>("B395")</f>
        <v>B395</v>
      </c>
      <c r="AE289" t="str">
        <f t="shared" si="123"/>
        <v>c.1</v>
      </c>
      <c r="AF289" t="str">
        <f t="shared" si="126"/>
        <v>1.可借圖書</v>
      </c>
      <c r="AG289" t="str">
        <f t="shared" si="127"/>
        <v>在架</v>
      </c>
      <c r="AI289" t="s">
        <v>65</v>
      </c>
      <c r="AK289" t="str">
        <f t="shared" si="115"/>
        <v>一般(Normal)</v>
      </c>
      <c r="AO289" t="s">
        <v>65</v>
      </c>
      <c r="AS289" t="str">
        <f>("c2001. ")</f>
        <v xml:space="preserve">c2001. </v>
      </c>
      <c r="AT289" t="str">
        <f t="shared" si="116"/>
        <v>catc</v>
      </c>
    </row>
    <row r="290" spans="1:46" x14ac:dyDescent="0.25">
      <c r="A290">
        <v>279</v>
      </c>
      <c r="B290" t="str">
        <f>("289193")</f>
        <v>289193</v>
      </c>
      <c r="C290" t="str">
        <f>("W00002315")</f>
        <v>W00002315</v>
      </c>
      <c r="D290" t="str">
        <f>("World Wide Web marketing :integrating the Web into your marketing strategy /")</f>
        <v>World Wide Web marketing :integrating the Web into your marketing strategy /</v>
      </c>
      <c r="E290" t="str">
        <f>("Sterne, Jim,1955- ")</f>
        <v xml:space="preserve">Sterne, Jim,1955- </v>
      </c>
      <c r="F290" t="str">
        <f>("Wiley,")</f>
        <v>Wiley,</v>
      </c>
      <c r="G290" t="str">
        <f>("2nd ed. ")</f>
        <v xml:space="preserve">2nd ed. </v>
      </c>
      <c r="H290" t="str">
        <f t="shared" si="124"/>
        <v>圖書 book</v>
      </c>
      <c r="I290" t="str">
        <f>("HF5415.1265 S981 2001")</f>
        <v>HF5415.1265 S981 2001</v>
      </c>
      <c r="J290" t="str">
        <f>("0471315613")</f>
        <v>0471315613</v>
      </c>
      <c r="K290" t="str">
        <f>("912")</f>
        <v>912</v>
      </c>
      <c r="L290" t="str">
        <f t="shared" si="113"/>
        <v>2001/10/10 00:00:00</v>
      </c>
      <c r="M290" t="str">
        <f t="shared" si="128"/>
        <v>2018/08/11 13:34:11</v>
      </c>
      <c r="N290" t="str">
        <f>("2001")</f>
        <v>2001</v>
      </c>
      <c r="O290" t="str">
        <f t="shared" si="125"/>
        <v>4F西文書庫 4F Western Language Books</v>
      </c>
      <c r="P290" t="s">
        <v>64</v>
      </c>
      <c r="W290" t="str">
        <f t="shared" si="118"/>
        <v>美國國會圖書分類法</v>
      </c>
      <c r="Y290" t="str">
        <f>("HF5415.1265")</f>
        <v>HF5415.1265</v>
      </c>
      <c r="Z290" t="str">
        <f t="shared" si="129"/>
        <v>2018/08/11 13:34:11</v>
      </c>
      <c r="AA290" t="str">
        <f t="shared" si="114"/>
        <v>catc</v>
      </c>
      <c r="AC290" t="str">
        <f>("S981")</f>
        <v>S981</v>
      </c>
      <c r="AE290" t="str">
        <f t="shared" si="123"/>
        <v>c.1</v>
      </c>
      <c r="AF290" t="str">
        <f t="shared" si="126"/>
        <v>1.可借圖書</v>
      </c>
      <c r="AG290" t="str">
        <f t="shared" si="127"/>
        <v>在架</v>
      </c>
      <c r="AI290" t="s">
        <v>65</v>
      </c>
      <c r="AK290" t="str">
        <f t="shared" si="115"/>
        <v>一般(Normal)</v>
      </c>
      <c r="AO290" t="s">
        <v>65</v>
      </c>
      <c r="AS290" t="str">
        <f>("c1999. ")</f>
        <v xml:space="preserve">c1999. </v>
      </c>
      <c r="AT290" t="str">
        <f t="shared" si="116"/>
        <v>catc</v>
      </c>
    </row>
    <row r="291" spans="1:46" x14ac:dyDescent="0.25">
      <c r="A291">
        <v>280</v>
      </c>
      <c r="B291" t="str">
        <f>("289194")</f>
        <v>289194</v>
      </c>
      <c r="C291" t="str">
        <f>("W00002316")</f>
        <v>W00002316</v>
      </c>
      <c r="D291" t="str">
        <f>("Mental health issues &amp; aging :building on the strengths of older persons /")</f>
        <v>Mental health issues &amp; aging :building on the strengths of older persons /</v>
      </c>
      <c r="E291" t="str">
        <f>("Tice, Carolyn J. ")</f>
        <v xml:space="preserve">Tice, Carolyn J. </v>
      </c>
      <c r="F291" t="str">
        <f>("Brooks/Cole,")</f>
        <v>Brooks/Cole,</v>
      </c>
      <c r="H291" t="str">
        <f t="shared" si="124"/>
        <v>圖書 book</v>
      </c>
      <c r="I291" t="str">
        <f>("RC451.4 T555 1996")</f>
        <v>RC451.4 T555 1996</v>
      </c>
      <c r="J291" t="str">
        <f>("0534207545")</f>
        <v>0534207545</v>
      </c>
      <c r="K291" t="str">
        <f>("904")</f>
        <v>904</v>
      </c>
      <c r="L291" t="str">
        <f t="shared" si="113"/>
        <v>2001/10/10 00:00:00</v>
      </c>
      <c r="M291" t="str">
        <f t="shared" si="128"/>
        <v>2018/08/11 13:34:11</v>
      </c>
      <c r="N291" t="str">
        <f>("1996")</f>
        <v>1996</v>
      </c>
      <c r="O291" t="str">
        <f t="shared" si="125"/>
        <v>4F西文書庫 4F Western Language Books</v>
      </c>
      <c r="P291" t="s">
        <v>64</v>
      </c>
      <c r="W291" t="str">
        <f t="shared" si="118"/>
        <v>美國國會圖書分類法</v>
      </c>
      <c r="Y291" t="str">
        <f>("RC451.4")</f>
        <v>RC451.4</v>
      </c>
      <c r="Z291" t="str">
        <f t="shared" si="129"/>
        <v>2018/08/11 13:34:11</v>
      </c>
      <c r="AA291" t="str">
        <f t="shared" si="114"/>
        <v>catc</v>
      </c>
      <c r="AC291" t="str">
        <f>("T555")</f>
        <v>T555</v>
      </c>
      <c r="AE291" t="str">
        <f t="shared" si="123"/>
        <v>c.1</v>
      </c>
      <c r="AF291" t="str">
        <f t="shared" si="126"/>
        <v>1.可借圖書</v>
      </c>
      <c r="AG291" t="str">
        <f t="shared" si="127"/>
        <v>在架</v>
      </c>
      <c r="AI291" t="s">
        <v>65</v>
      </c>
      <c r="AK291" t="str">
        <f t="shared" si="115"/>
        <v>一般(Normal)</v>
      </c>
      <c r="AO291" t="s">
        <v>65</v>
      </c>
      <c r="AS291" t="str">
        <f>("c1996. ")</f>
        <v xml:space="preserve">c1996. </v>
      </c>
      <c r="AT291" t="str">
        <f t="shared" si="116"/>
        <v>catc</v>
      </c>
    </row>
    <row r="292" spans="1:46" x14ac:dyDescent="0.25">
      <c r="A292">
        <v>281</v>
      </c>
      <c r="B292" t="str">
        <f>("289195")</f>
        <v>289195</v>
      </c>
      <c r="C292" t="str">
        <f>("W00002317")</f>
        <v>W00002317</v>
      </c>
      <c r="D292" t="str">
        <f>("Healing and the grief process /")</f>
        <v>Healing and the grief process /</v>
      </c>
      <c r="E292" t="str">
        <f>("Roach, Sally S. ")</f>
        <v xml:space="preserve">Roach, Sally S. </v>
      </c>
      <c r="F292" t="str">
        <f>("Delmar,")</f>
        <v>Delmar,</v>
      </c>
      <c r="H292" t="str">
        <f t="shared" si="124"/>
        <v>圖書 book</v>
      </c>
      <c r="I292" t="str">
        <f>("RT86 R628 1997")</f>
        <v>RT86 R628 1997</v>
      </c>
      <c r="J292" t="str">
        <f>("0827369689")</f>
        <v>0827369689</v>
      </c>
      <c r="K292" t="str">
        <f>("904")</f>
        <v>904</v>
      </c>
      <c r="L292" t="str">
        <f t="shared" si="113"/>
        <v>2001/10/10 00:00:00</v>
      </c>
      <c r="M292" t="str">
        <f t="shared" si="128"/>
        <v>2018/08/11 13:34:11</v>
      </c>
      <c r="N292" t="str">
        <f>("1997")</f>
        <v>1997</v>
      </c>
      <c r="O292" t="str">
        <f t="shared" si="125"/>
        <v>4F西文書庫 4F Western Language Books</v>
      </c>
      <c r="P292" t="s">
        <v>64</v>
      </c>
      <c r="W292" t="str">
        <f t="shared" si="118"/>
        <v>美國國會圖書分類法</v>
      </c>
      <c r="Y292" t="str">
        <f>("RT86")</f>
        <v>RT86</v>
      </c>
      <c r="Z292" t="str">
        <f t="shared" si="129"/>
        <v>2018/08/11 13:34:11</v>
      </c>
      <c r="AA292" t="str">
        <f t="shared" si="114"/>
        <v>catc</v>
      </c>
      <c r="AC292" t="str">
        <f>("R628")</f>
        <v>R628</v>
      </c>
      <c r="AE292" t="str">
        <f t="shared" si="123"/>
        <v>c.1</v>
      </c>
      <c r="AF292" t="str">
        <f t="shared" si="126"/>
        <v>1.可借圖書</v>
      </c>
      <c r="AG292" t="str">
        <f t="shared" si="127"/>
        <v>在架</v>
      </c>
      <c r="AI292" t="s">
        <v>65</v>
      </c>
      <c r="AK292" t="str">
        <f t="shared" si="115"/>
        <v>一般(Normal)</v>
      </c>
      <c r="AO292" t="s">
        <v>65</v>
      </c>
      <c r="AS292" t="str">
        <f>("c1997. ")</f>
        <v xml:space="preserve">c1997. </v>
      </c>
      <c r="AT292" t="str">
        <f t="shared" si="116"/>
        <v>catc</v>
      </c>
    </row>
    <row r="293" spans="1:46" x14ac:dyDescent="0.25">
      <c r="A293">
        <v>282</v>
      </c>
      <c r="B293" t="str">
        <f>("289196")</f>
        <v>289196</v>
      </c>
      <c r="C293" t="str">
        <f>("W00002318")</f>
        <v>W00002318</v>
      </c>
      <c r="D293" t="str">
        <f>("Social costs and sustainable mobility/")</f>
        <v>Social costs and sustainable mobility/</v>
      </c>
      <c r="E293" t="str">
        <f>("(Weeks, Gerald R.)")</f>
        <v>(Weeks, Gerald R.)</v>
      </c>
      <c r="F293" t="str">
        <f>("Physica-Verlag,")</f>
        <v>Physica-Verlag,</v>
      </c>
      <c r="H293" t="str">
        <f t="shared" si="124"/>
        <v>圖書 book</v>
      </c>
      <c r="I293" t="str">
        <f>("HG388.1 R416 2000")</f>
        <v>HG388.1 R416 2000</v>
      </c>
      <c r="J293" t="str">
        <f>("3790812609")</f>
        <v>3790812609</v>
      </c>
      <c r="K293" t="str">
        <f>("1156")</f>
        <v>1156</v>
      </c>
      <c r="L293" t="str">
        <f t="shared" si="113"/>
        <v>2001/10/10 00:00:00</v>
      </c>
      <c r="M293" t="str">
        <f t="shared" si="128"/>
        <v>2018/08/11 13:34:11</v>
      </c>
      <c r="N293" t="str">
        <f>("2000")</f>
        <v>2000</v>
      </c>
      <c r="O293" t="str">
        <f t="shared" si="125"/>
        <v>4F西文書庫 4F Western Language Books</v>
      </c>
      <c r="P293" t="s">
        <v>64</v>
      </c>
      <c r="W293" t="str">
        <f t="shared" si="118"/>
        <v>美國國會圖書分類法</v>
      </c>
      <c r="Y293" t="str">
        <f>("HG388.1")</f>
        <v>HG388.1</v>
      </c>
      <c r="Z293" t="str">
        <f t="shared" si="129"/>
        <v>2018/08/11 13:34:11</v>
      </c>
      <c r="AA293" t="str">
        <f t="shared" si="114"/>
        <v>catc</v>
      </c>
      <c r="AC293" t="str">
        <f>("R416")</f>
        <v>R416</v>
      </c>
      <c r="AE293" t="str">
        <f t="shared" si="123"/>
        <v>c.1</v>
      </c>
      <c r="AF293" t="str">
        <f t="shared" si="126"/>
        <v>1.可借圖書</v>
      </c>
      <c r="AG293" t="str">
        <f t="shared" si="127"/>
        <v>在架</v>
      </c>
      <c r="AI293" t="s">
        <v>65</v>
      </c>
      <c r="AK293" t="str">
        <f t="shared" si="115"/>
        <v>一般(Normal)</v>
      </c>
      <c r="AO293" t="s">
        <v>65</v>
      </c>
      <c r="AS293" t="str">
        <f>("2000.")</f>
        <v>2000.</v>
      </c>
      <c r="AT293" t="str">
        <f t="shared" si="116"/>
        <v>catc</v>
      </c>
    </row>
    <row r="294" spans="1:46" x14ac:dyDescent="0.25">
      <c r="A294">
        <v>283</v>
      </c>
      <c r="B294" t="str">
        <f>("289178")</f>
        <v>289178</v>
      </c>
      <c r="C294" t="str">
        <f>("W00002319")</f>
        <v>W00002319</v>
      </c>
      <c r="D294" t="str">
        <f>("The helping relationship :process and skills /")</f>
        <v>The helping relationship :process and skills /</v>
      </c>
      <c r="E294" t="str">
        <f>("Brammer, Lawrence M. ")</f>
        <v xml:space="preserve">Brammer, Lawrence M. </v>
      </c>
      <c r="F294" t="str">
        <f>("Allyn &amp; Bacon,")</f>
        <v>Allyn &amp; Bacon,</v>
      </c>
      <c r="G294" t="str">
        <f>("7th ed. ")</f>
        <v xml:space="preserve">7th ed. </v>
      </c>
      <c r="H294" t="str">
        <f t="shared" si="124"/>
        <v>圖書 book</v>
      </c>
      <c r="I294" t="str">
        <f>("BF637 B815 1999")</f>
        <v>BF637 B815 1999</v>
      </c>
      <c r="J294" t="str">
        <f>("0205290426")</f>
        <v>0205290426</v>
      </c>
      <c r="K294" t="str">
        <f>("1176")</f>
        <v>1176</v>
      </c>
      <c r="L294" t="str">
        <f t="shared" si="113"/>
        <v>2001/10/10 00:00:00</v>
      </c>
      <c r="M294" t="str">
        <f t="shared" si="128"/>
        <v>2018/08/11 13:34:11</v>
      </c>
      <c r="N294" t="str">
        <f>("1999")</f>
        <v>1999</v>
      </c>
      <c r="O294" t="str">
        <f t="shared" si="125"/>
        <v>4F西文書庫 4F Western Language Books</v>
      </c>
      <c r="P294" t="s">
        <v>64</v>
      </c>
      <c r="W294" t="str">
        <f t="shared" si="118"/>
        <v>美國國會圖書分類法</v>
      </c>
      <c r="Y294" t="str">
        <f>("BF637")</f>
        <v>BF637</v>
      </c>
      <c r="Z294" t="str">
        <f t="shared" si="129"/>
        <v>2018/08/11 13:34:11</v>
      </c>
      <c r="AA294" t="str">
        <f t="shared" si="114"/>
        <v>catc</v>
      </c>
      <c r="AC294" t="str">
        <f>("B815")</f>
        <v>B815</v>
      </c>
      <c r="AE294" t="str">
        <f t="shared" si="123"/>
        <v>c.1</v>
      </c>
      <c r="AF294" t="str">
        <f t="shared" si="126"/>
        <v>1.可借圖書</v>
      </c>
      <c r="AG294" t="str">
        <f t="shared" si="127"/>
        <v>在架</v>
      </c>
      <c r="AI294" t="s">
        <v>65</v>
      </c>
      <c r="AK294" t="str">
        <f t="shared" si="115"/>
        <v>一般(Normal)</v>
      </c>
      <c r="AO294" t="s">
        <v>65</v>
      </c>
      <c r="AS294" t="str">
        <f>("1998. ")</f>
        <v xml:space="preserve">1998. </v>
      </c>
      <c r="AT294" t="str">
        <f t="shared" si="116"/>
        <v>catc</v>
      </c>
    </row>
    <row r="295" spans="1:46" x14ac:dyDescent="0.25">
      <c r="A295">
        <v>284</v>
      </c>
      <c r="B295" t="str">
        <f>("289179")</f>
        <v>289179</v>
      </c>
      <c r="C295" t="str">
        <f>("W00002320")</f>
        <v>W00002320</v>
      </c>
      <c r="D295" t="str">
        <f>("Globalization :a critical introduction /")</f>
        <v>Globalization :a critical introduction /</v>
      </c>
      <c r="E295" t="str">
        <f>("Scholte, Jan Aart ")</f>
        <v xml:space="preserve">Scholte, Jan Aart </v>
      </c>
      <c r="F295" t="str">
        <f>("St. Martin's Press,")</f>
        <v>St. Martin's Press,</v>
      </c>
      <c r="H295" t="str">
        <f t="shared" si="124"/>
        <v>圖書 book</v>
      </c>
      <c r="I295" t="str">
        <f>("JZ1318 S368 2000")</f>
        <v>JZ1318 S368 2000</v>
      </c>
      <c r="J295" t="str">
        <f>("033660226")</f>
        <v>033660226</v>
      </c>
      <c r="K295" t="str">
        <f>("668")</f>
        <v>668</v>
      </c>
      <c r="L295" t="str">
        <f t="shared" si="113"/>
        <v>2001/10/10 00:00:00</v>
      </c>
      <c r="M295" t="str">
        <f t="shared" si="128"/>
        <v>2018/08/11 13:34:11</v>
      </c>
      <c r="N295" t="str">
        <f>("2000")</f>
        <v>2000</v>
      </c>
      <c r="O295" t="str">
        <f t="shared" si="125"/>
        <v>4F西文書庫 4F Western Language Books</v>
      </c>
      <c r="P295" t="s">
        <v>64</v>
      </c>
      <c r="W295" t="str">
        <f t="shared" si="118"/>
        <v>美國國會圖書分類法</v>
      </c>
      <c r="Y295" t="str">
        <f>("JZ1318")</f>
        <v>JZ1318</v>
      </c>
      <c r="Z295" t="str">
        <f t="shared" si="129"/>
        <v>2018/08/11 13:34:11</v>
      </c>
      <c r="AA295" t="str">
        <f t="shared" si="114"/>
        <v>catc</v>
      </c>
      <c r="AC295" t="str">
        <f>("S368")</f>
        <v>S368</v>
      </c>
      <c r="AE295" t="str">
        <f t="shared" si="123"/>
        <v>c.1</v>
      </c>
      <c r="AF295" t="str">
        <f t="shared" si="126"/>
        <v>1.可借圖書</v>
      </c>
      <c r="AG295" t="str">
        <f t="shared" si="127"/>
        <v>在架</v>
      </c>
      <c r="AI295" t="s">
        <v>65</v>
      </c>
      <c r="AK295" t="str">
        <f t="shared" si="115"/>
        <v>一般(Normal)</v>
      </c>
      <c r="AO295" t="s">
        <v>65</v>
      </c>
      <c r="AS295" t="str">
        <f>("2000 ")</f>
        <v xml:space="preserve">2000 </v>
      </c>
      <c r="AT295" t="str">
        <f t="shared" si="116"/>
        <v>catc</v>
      </c>
    </row>
    <row r="296" spans="1:46" x14ac:dyDescent="0.25">
      <c r="A296">
        <v>285</v>
      </c>
      <c r="B296" t="str">
        <f>("289180")</f>
        <v>289180</v>
      </c>
      <c r="C296" t="str">
        <f>("W00002321")</f>
        <v>W00002321</v>
      </c>
      <c r="D296" t="str">
        <f>("Advanced pediatric clinical assessment :skills and procedures /")</f>
        <v>Advanced pediatric clinical assessment :skills and procedures /</v>
      </c>
      <c r="E296" t="str">
        <f>("Muscari, Mary E.")</f>
        <v>Muscari, Mary E.</v>
      </c>
      <c r="F296" t="str">
        <f>("Lippincott Williams &amp; Wilkins,")</f>
        <v>Lippincott Williams &amp; Wilkins,</v>
      </c>
      <c r="H296" t="str">
        <f t="shared" si="124"/>
        <v>圖書 book</v>
      </c>
      <c r="I296" t="str">
        <f>("U329 M985 2001")</f>
        <v>U329 M985 2001</v>
      </c>
      <c r="J296" t="str">
        <f>("0781718791")</f>
        <v>0781718791</v>
      </c>
      <c r="K296" t="str">
        <f>("1120")</f>
        <v>1120</v>
      </c>
      <c r="L296" t="str">
        <f t="shared" si="113"/>
        <v>2001/10/10 00:00:00</v>
      </c>
      <c r="M296" t="str">
        <f t="shared" si="128"/>
        <v>2018/08/11 13:34:11</v>
      </c>
      <c r="N296" t="str">
        <f>("2001")</f>
        <v>2001</v>
      </c>
      <c r="O296" t="str">
        <f t="shared" si="125"/>
        <v>4F西文書庫 4F Western Language Books</v>
      </c>
      <c r="P296" t="s">
        <v>64</v>
      </c>
      <c r="W296" t="str">
        <f t="shared" si="118"/>
        <v>美國國會圖書分類法</v>
      </c>
      <c r="Y296" t="str">
        <f>("U329")</f>
        <v>U329</v>
      </c>
      <c r="Z296" t="str">
        <f t="shared" si="129"/>
        <v>2018/08/11 13:34:11</v>
      </c>
      <c r="AA296" t="str">
        <f t="shared" si="114"/>
        <v>catc</v>
      </c>
      <c r="AC296" t="str">
        <f>("M985")</f>
        <v>M985</v>
      </c>
      <c r="AE296" t="str">
        <f t="shared" si="123"/>
        <v>c.1</v>
      </c>
      <c r="AF296" t="str">
        <f t="shared" si="126"/>
        <v>1.可借圖書</v>
      </c>
      <c r="AG296" t="str">
        <f t="shared" si="127"/>
        <v>在架</v>
      </c>
      <c r="AI296" t="s">
        <v>65</v>
      </c>
      <c r="AK296" t="str">
        <f t="shared" si="115"/>
        <v>一般(Normal)</v>
      </c>
      <c r="AO296" t="s">
        <v>65</v>
      </c>
      <c r="AS296" t="str">
        <f>("c2001.")</f>
        <v>c2001.</v>
      </c>
      <c r="AT296" t="str">
        <f t="shared" si="116"/>
        <v>catc</v>
      </c>
    </row>
    <row r="297" spans="1:46" x14ac:dyDescent="0.25">
      <c r="A297">
        <v>286</v>
      </c>
      <c r="B297" t="str">
        <f>("289201")</f>
        <v>289201</v>
      </c>
      <c r="C297" t="str">
        <f>("W00002322")</f>
        <v>W00002322</v>
      </c>
      <c r="D297" t="str">
        <f>("Inside Chinese business : a guide for managers worldwide /")</f>
        <v>Inside Chinese business : a guide for managers worldwide /</v>
      </c>
      <c r="E297" t="str">
        <f>("Chen, Ming-Jer. ")</f>
        <v xml:space="preserve">Chen, Ming-Jer. </v>
      </c>
      <c r="F297" t="str">
        <f>("Harvard Business School Press,")</f>
        <v>Harvard Business School Press,</v>
      </c>
      <c r="H297" t="str">
        <f t="shared" si="124"/>
        <v>圖書 book</v>
      </c>
      <c r="I297" t="str">
        <f>("HC427.92 C518 2001")</f>
        <v>HC427.92 C518 2001</v>
      </c>
      <c r="J297" t="str">
        <f>("1578512328")</f>
        <v>1578512328</v>
      </c>
      <c r="K297" t="str">
        <f>("884")</f>
        <v>884</v>
      </c>
      <c r="L297" t="str">
        <f t="shared" si="113"/>
        <v>2001/10/10 00:00:00</v>
      </c>
      <c r="M297" t="str">
        <f t="shared" ref="M297:M305" si="130">("2018/08/11 13:34:12")</f>
        <v>2018/08/11 13:34:12</v>
      </c>
      <c r="N297" t="str">
        <f>("2001")</f>
        <v>2001</v>
      </c>
      <c r="O297" t="str">
        <f t="shared" si="125"/>
        <v>4F西文書庫 4F Western Language Books</v>
      </c>
      <c r="P297" t="s">
        <v>64</v>
      </c>
      <c r="S297" t="str">
        <f>("xix, 234 p. :")</f>
        <v>xix, 234 p. :</v>
      </c>
      <c r="T297" t="str">
        <f>("ill. ;")</f>
        <v>ill. ;</v>
      </c>
      <c r="U297" t="str">
        <f>("24 cm. ")</f>
        <v xml:space="preserve">24 cm. </v>
      </c>
      <c r="W297" t="str">
        <f t="shared" si="118"/>
        <v>美國國會圖書分類法</v>
      </c>
      <c r="Y297" t="str">
        <f>("HC427.92")</f>
        <v>HC427.92</v>
      </c>
      <c r="Z297" t="str">
        <f t="shared" ref="Z297:Z306" si="131">("2018/08/11 13:34:12")</f>
        <v>2018/08/11 13:34:12</v>
      </c>
      <c r="AA297" t="str">
        <f t="shared" si="114"/>
        <v>catc</v>
      </c>
      <c r="AC297" t="str">
        <f>("C518")</f>
        <v>C518</v>
      </c>
      <c r="AE297" t="str">
        <f t="shared" si="123"/>
        <v>c.1</v>
      </c>
      <c r="AF297" t="str">
        <f t="shared" si="126"/>
        <v>1.可借圖書</v>
      </c>
      <c r="AG297" t="str">
        <f t="shared" si="127"/>
        <v>在架</v>
      </c>
      <c r="AI297" t="s">
        <v>65</v>
      </c>
      <c r="AK297" t="str">
        <f t="shared" si="115"/>
        <v>一般(Normal)</v>
      </c>
      <c r="AO297" t="s">
        <v>65</v>
      </c>
      <c r="AS297" t="str">
        <f>("c2001. ")</f>
        <v xml:space="preserve">c2001. </v>
      </c>
      <c r="AT297" t="str">
        <f t="shared" si="116"/>
        <v>catc</v>
      </c>
    </row>
    <row r="298" spans="1:46" x14ac:dyDescent="0.25">
      <c r="A298">
        <v>287</v>
      </c>
      <c r="B298" t="str">
        <f>("289197")</f>
        <v>289197</v>
      </c>
      <c r="C298" t="str">
        <f>("W00002323")</f>
        <v>W00002323</v>
      </c>
      <c r="D298" t="str">
        <f>("Value based management :the corporate response to the shareholder revolution /")</f>
        <v>Value based management :the corporate response to the shareholder revolution /</v>
      </c>
      <c r="E298" t="str">
        <f>("Martin, John D.,1945- ")</f>
        <v xml:space="preserve">Martin, John D.,1945- </v>
      </c>
      <c r="F298" t="str">
        <f>("Harvard Business School Press,")</f>
        <v>Harvard Business School Press,</v>
      </c>
      <c r="H298" t="str">
        <f t="shared" si="124"/>
        <v>圖書 book</v>
      </c>
      <c r="I298" t="str">
        <f>("HD47.3 M379 2000")</f>
        <v>HD47.3 M379 2000</v>
      </c>
      <c r="J298" t="str">
        <f>("0875848001")</f>
        <v>0875848001</v>
      </c>
      <c r="K298" t="str">
        <f>("1036")</f>
        <v>1036</v>
      </c>
      <c r="L298" t="str">
        <f t="shared" si="113"/>
        <v>2001/10/10 00:00:00</v>
      </c>
      <c r="M298" t="str">
        <f t="shared" si="130"/>
        <v>2018/08/11 13:34:12</v>
      </c>
      <c r="N298" t="str">
        <f>("2000")</f>
        <v>2000</v>
      </c>
      <c r="O298" t="str">
        <f t="shared" si="125"/>
        <v>4F西文書庫 4F Western Language Books</v>
      </c>
      <c r="P298" t="s">
        <v>64</v>
      </c>
      <c r="W298" t="str">
        <f t="shared" si="118"/>
        <v>美國國會圖書分類法</v>
      </c>
      <c r="Y298" t="str">
        <f>("HD47.3")</f>
        <v>HD47.3</v>
      </c>
      <c r="Z298" t="str">
        <f t="shared" si="131"/>
        <v>2018/08/11 13:34:12</v>
      </c>
      <c r="AA298" t="str">
        <f t="shared" si="114"/>
        <v>catc</v>
      </c>
      <c r="AC298" t="str">
        <f>("M379")</f>
        <v>M379</v>
      </c>
      <c r="AE298" t="str">
        <f t="shared" si="123"/>
        <v>c.1</v>
      </c>
      <c r="AF298" t="str">
        <f t="shared" si="126"/>
        <v>1.可借圖書</v>
      </c>
      <c r="AG298" t="str">
        <f t="shared" si="127"/>
        <v>在架</v>
      </c>
      <c r="AI298" t="s">
        <v>65</v>
      </c>
      <c r="AK298" t="str">
        <f t="shared" si="115"/>
        <v>一般(Normal)</v>
      </c>
      <c r="AO298" t="s">
        <v>65</v>
      </c>
      <c r="AS298" t="str">
        <f>("c2000. ")</f>
        <v xml:space="preserve">c2000. </v>
      </c>
      <c r="AT298" t="str">
        <f t="shared" si="116"/>
        <v>catc</v>
      </c>
    </row>
    <row r="299" spans="1:46" x14ac:dyDescent="0.25">
      <c r="A299">
        <v>288</v>
      </c>
      <c r="B299" t="str">
        <f>("289198")</f>
        <v>289198</v>
      </c>
      <c r="C299" t="str">
        <f>("W00002324")</f>
        <v>W00002324</v>
      </c>
      <c r="D299" t="str">
        <f>("Handbook of diagnosis and treatment of the DSM-IV personality disorders /")</f>
        <v>Handbook of diagnosis and treatment of the DSM-IV personality disorders /</v>
      </c>
      <c r="E299" t="str">
        <f>("Sperry, Len. ")</f>
        <v xml:space="preserve">Sperry, Len. </v>
      </c>
      <c r="F299" t="str">
        <f>("Brunner/Mazel,")</f>
        <v>Brunner/Mazel,</v>
      </c>
      <c r="H299" t="str">
        <f t="shared" si="124"/>
        <v>圖書 book</v>
      </c>
      <c r="I299" t="str">
        <f>("RC554 S751 1999")</f>
        <v>RC554 S751 1999</v>
      </c>
      <c r="J299" t="str">
        <f>("0876307802")</f>
        <v>0876307802</v>
      </c>
      <c r="K299" t="str">
        <f>("1028")</f>
        <v>1028</v>
      </c>
      <c r="L299" t="str">
        <f t="shared" si="113"/>
        <v>2001/10/10 00:00:00</v>
      </c>
      <c r="M299" t="str">
        <f t="shared" si="130"/>
        <v>2018/08/11 13:34:12</v>
      </c>
      <c r="N299" t="str">
        <f>("1999")</f>
        <v>1999</v>
      </c>
      <c r="O299" t="str">
        <f t="shared" si="125"/>
        <v>4F西文書庫 4F Western Language Books</v>
      </c>
      <c r="P299" t="s">
        <v>64</v>
      </c>
      <c r="W299" t="str">
        <f t="shared" si="118"/>
        <v>美國國會圖書分類法</v>
      </c>
      <c r="Y299" t="str">
        <f>("RC554")</f>
        <v>RC554</v>
      </c>
      <c r="Z299" t="str">
        <f t="shared" si="131"/>
        <v>2018/08/11 13:34:12</v>
      </c>
      <c r="AA299" t="str">
        <f t="shared" si="114"/>
        <v>catc</v>
      </c>
      <c r="AC299" t="str">
        <f>("S751")</f>
        <v>S751</v>
      </c>
      <c r="AE299" t="str">
        <f t="shared" si="123"/>
        <v>c.1</v>
      </c>
      <c r="AF299" t="str">
        <f t="shared" si="126"/>
        <v>1.可借圖書</v>
      </c>
      <c r="AG299" t="str">
        <f t="shared" si="127"/>
        <v>在架</v>
      </c>
      <c r="AI299" t="s">
        <v>65</v>
      </c>
      <c r="AK299" t="str">
        <f t="shared" si="115"/>
        <v>一般(Normal)</v>
      </c>
      <c r="AO299" t="s">
        <v>65</v>
      </c>
      <c r="AS299" t="str">
        <f>("c1995. ")</f>
        <v xml:space="preserve">c1995. </v>
      </c>
      <c r="AT299" t="str">
        <f t="shared" si="116"/>
        <v>catc</v>
      </c>
    </row>
    <row r="300" spans="1:46" x14ac:dyDescent="0.25">
      <c r="A300">
        <v>289</v>
      </c>
      <c r="B300" t="str">
        <f>("289199")</f>
        <v>289199</v>
      </c>
      <c r="C300" t="str">
        <f>("W00002325")</f>
        <v>W00002325</v>
      </c>
      <c r="D300" t="str">
        <f>("Television, globalization and cultural identities /")</f>
        <v>Television, globalization and cultural identities /</v>
      </c>
      <c r="E300" t="str">
        <f>("Barker, Chris,1955- ")</f>
        <v xml:space="preserve">Barker, Chris,1955- </v>
      </c>
      <c r="F300" t="str">
        <f>("Open University Press,")</f>
        <v>Open University Press,</v>
      </c>
      <c r="H300" t="str">
        <f t="shared" si="124"/>
        <v>圖書 book</v>
      </c>
      <c r="I300" t="str">
        <f>("N1992.6 B255 1999")</f>
        <v>N1992.6 B255 1999</v>
      </c>
      <c r="J300" t="str">
        <f>("0335199542")</f>
        <v>0335199542</v>
      </c>
      <c r="K300" t="str">
        <f>("616")</f>
        <v>616</v>
      </c>
      <c r="L300" t="str">
        <f t="shared" si="113"/>
        <v>2001/10/10 00:00:00</v>
      </c>
      <c r="M300" t="str">
        <f t="shared" si="130"/>
        <v>2018/08/11 13:34:12</v>
      </c>
      <c r="N300" t="str">
        <f>("1999")</f>
        <v>1999</v>
      </c>
      <c r="O300" t="str">
        <f t="shared" si="125"/>
        <v>4F西文書庫 4F Western Language Books</v>
      </c>
      <c r="P300" t="s">
        <v>64</v>
      </c>
      <c r="W300" t="str">
        <f t="shared" si="118"/>
        <v>美國國會圖書分類法</v>
      </c>
      <c r="Y300" t="str">
        <f>("N1992.6")</f>
        <v>N1992.6</v>
      </c>
      <c r="Z300" t="str">
        <f t="shared" si="131"/>
        <v>2018/08/11 13:34:12</v>
      </c>
      <c r="AA300" t="str">
        <f t="shared" si="114"/>
        <v>catc</v>
      </c>
      <c r="AC300" t="str">
        <f>("B255")</f>
        <v>B255</v>
      </c>
      <c r="AE300" t="str">
        <f t="shared" si="123"/>
        <v>c.1</v>
      </c>
      <c r="AF300" t="str">
        <f t="shared" si="126"/>
        <v>1.可借圖書</v>
      </c>
      <c r="AG300" t="str">
        <f t="shared" si="127"/>
        <v>在架</v>
      </c>
      <c r="AI300" t="s">
        <v>65</v>
      </c>
      <c r="AK300" t="str">
        <f t="shared" si="115"/>
        <v>一般(Normal)</v>
      </c>
      <c r="AO300" t="s">
        <v>65</v>
      </c>
      <c r="AS300" t="str">
        <f>("1999. ")</f>
        <v xml:space="preserve">1999. </v>
      </c>
      <c r="AT300" t="str">
        <f t="shared" si="116"/>
        <v>catc</v>
      </c>
    </row>
    <row r="301" spans="1:46" x14ac:dyDescent="0.25">
      <c r="A301">
        <v>290</v>
      </c>
      <c r="B301" t="str">
        <f>("289200")</f>
        <v>289200</v>
      </c>
      <c r="C301" t="str">
        <f>("W00002326")</f>
        <v>W00002326</v>
      </c>
      <c r="D301" t="str">
        <f>("Evolve! :succeeding in the digital culture of tomorrow /")</f>
        <v>Evolve! :succeeding in the digital culture of tomorrow /</v>
      </c>
      <c r="E301" t="str">
        <f>("Kanter, Rosabeth Moss. ")</f>
        <v xml:space="preserve">Kanter, Rosabeth Moss. </v>
      </c>
      <c r="F301" t="str">
        <f>("Harvard Business School Press,")</f>
        <v>Harvard Business School Press,</v>
      </c>
      <c r="H301" t="str">
        <f t="shared" si="124"/>
        <v>圖書 book</v>
      </c>
      <c r="I301" t="str">
        <f>("HC79 K16 2001")</f>
        <v>HC79 K16 2001</v>
      </c>
      <c r="J301" t="str">
        <f>("1578514398")</f>
        <v>1578514398</v>
      </c>
      <c r="K301" t="str">
        <f>("812")</f>
        <v>812</v>
      </c>
      <c r="L301" t="str">
        <f t="shared" si="113"/>
        <v>2001/10/10 00:00:00</v>
      </c>
      <c r="M301" t="str">
        <f t="shared" si="130"/>
        <v>2018/08/11 13:34:12</v>
      </c>
      <c r="N301" t="str">
        <f>("2001")</f>
        <v>2001</v>
      </c>
      <c r="O301" t="str">
        <f t="shared" si="125"/>
        <v>4F西文書庫 4F Western Language Books</v>
      </c>
      <c r="P301" t="s">
        <v>64</v>
      </c>
      <c r="W301" t="str">
        <f t="shared" si="118"/>
        <v>美國國會圖書分類法</v>
      </c>
      <c r="Y301" t="str">
        <f>("HC79")</f>
        <v>HC79</v>
      </c>
      <c r="Z301" t="str">
        <f t="shared" si="131"/>
        <v>2018/08/11 13:34:12</v>
      </c>
      <c r="AA301" t="str">
        <f t="shared" si="114"/>
        <v>catc</v>
      </c>
      <c r="AC301" t="str">
        <f>("K16")</f>
        <v>K16</v>
      </c>
      <c r="AE301" t="str">
        <f t="shared" si="123"/>
        <v>c.1</v>
      </c>
      <c r="AF301" t="str">
        <f t="shared" si="126"/>
        <v>1.可借圖書</v>
      </c>
      <c r="AG301" t="str">
        <f t="shared" si="127"/>
        <v>在架</v>
      </c>
      <c r="AI301" t="s">
        <v>65</v>
      </c>
      <c r="AK301" t="str">
        <f t="shared" si="115"/>
        <v>一般(Normal)</v>
      </c>
      <c r="AO301" t="s">
        <v>65</v>
      </c>
      <c r="AS301" t="str">
        <f>("c2001. ")</f>
        <v xml:space="preserve">c2001. </v>
      </c>
      <c r="AT301" t="str">
        <f t="shared" si="116"/>
        <v>catc</v>
      </c>
    </row>
    <row r="302" spans="1:46" x14ac:dyDescent="0.25">
      <c r="A302">
        <v>291</v>
      </c>
      <c r="B302" t="str">
        <f>("289221")</f>
        <v>289221</v>
      </c>
      <c r="C302" t="str">
        <f>("W00002327")</f>
        <v>W00002327</v>
      </c>
      <c r="D302" t="str">
        <f>("Internet ethics")</f>
        <v>Internet ethics</v>
      </c>
      <c r="E302" t="str">
        <f>("Duncan, Langford ")</f>
        <v xml:space="preserve">Duncan, Langford </v>
      </c>
      <c r="F302" t="str">
        <f>("Macmilla Press,")</f>
        <v>Macmilla Press,</v>
      </c>
      <c r="H302" t="str">
        <f t="shared" si="124"/>
        <v>圖書 book</v>
      </c>
      <c r="I302" t="str">
        <f>("KF390.5 D912 2000")</f>
        <v>KF390.5 D912 2000</v>
      </c>
      <c r="J302" t="str">
        <f>("0333776267")</f>
        <v>0333776267</v>
      </c>
      <c r="K302" t="str">
        <f>("1164")</f>
        <v>1164</v>
      </c>
      <c r="L302" t="str">
        <f t="shared" si="113"/>
        <v>2001/10/10 00:00:00</v>
      </c>
      <c r="M302" t="str">
        <f t="shared" si="130"/>
        <v>2018/08/11 13:34:12</v>
      </c>
      <c r="N302" t="str">
        <f>("2000")</f>
        <v>2000</v>
      </c>
      <c r="O302" t="str">
        <f t="shared" si="125"/>
        <v>4F西文書庫 4F Western Language Books</v>
      </c>
      <c r="P302" t="s">
        <v>64</v>
      </c>
      <c r="W302" t="str">
        <f t="shared" si="118"/>
        <v>美國國會圖書分類法</v>
      </c>
      <c r="Y302" t="str">
        <f>("KF390.5")</f>
        <v>KF390.5</v>
      </c>
      <c r="Z302" t="str">
        <f t="shared" si="131"/>
        <v>2018/08/11 13:34:12</v>
      </c>
      <c r="AA302" t="str">
        <f t="shared" si="114"/>
        <v>catc</v>
      </c>
      <c r="AC302" t="str">
        <f>("D912")</f>
        <v>D912</v>
      </c>
      <c r="AE302" t="str">
        <f t="shared" si="123"/>
        <v>c.1</v>
      </c>
      <c r="AF302" t="str">
        <f t="shared" si="126"/>
        <v>1.可借圖書</v>
      </c>
      <c r="AG302" t="str">
        <f t="shared" si="127"/>
        <v>在架</v>
      </c>
      <c r="AI302" t="s">
        <v>65</v>
      </c>
      <c r="AK302" t="str">
        <f t="shared" si="115"/>
        <v>一般(Normal)</v>
      </c>
      <c r="AO302" t="s">
        <v>65</v>
      </c>
      <c r="AS302" t="str">
        <f>("2000.")</f>
        <v>2000.</v>
      </c>
      <c r="AT302" t="str">
        <f t="shared" si="116"/>
        <v>catc</v>
      </c>
    </row>
    <row r="303" spans="1:46" x14ac:dyDescent="0.25">
      <c r="A303">
        <v>292</v>
      </c>
      <c r="B303" t="str">
        <f>("289222")</f>
        <v>289222</v>
      </c>
      <c r="C303" t="str">
        <f>("W00002328")</f>
        <v>W00002328</v>
      </c>
      <c r="D303" t="str">
        <f>("Qualitative research methods:the lifestory interview/")</f>
        <v>Qualitative research methods:the lifestory interview/</v>
      </c>
      <c r="E303" t="str">
        <f>("Woods, Ngaire")</f>
        <v>Woods, Ngaire</v>
      </c>
      <c r="F303" t="str">
        <f>("Magmillan Press,")</f>
        <v>Magmillan Press,</v>
      </c>
      <c r="H303" t="str">
        <f t="shared" si="124"/>
        <v>圖書 book</v>
      </c>
      <c r="I303" t="str">
        <f>("HC412 W894 2000")</f>
        <v>HC412 W894 2000</v>
      </c>
      <c r="J303" t="str">
        <f>("0333776453")</f>
        <v>0333776453</v>
      </c>
      <c r="K303" t="str">
        <f>("623")</f>
        <v>623</v>
      </c>
      <c r="L303" t="str">
        <f t="shared" si="113"/>
        <v>2001/10/10 00:00:00</v>
      </c>
      <c r="M303" t="str">
        <f t="shared" si="130"/>
        <v>2018/08/11 13:34:12</v>
      </c>
      <c r="N303" t="str">
        <f>("2000")</f>
        <v>2000</v>
      </c>
      <c r="O303" t="str">
        <f t="shared" si="125"/>
        <v>4F西文書庫 4F Western Language Books</v>
      </c>
      <c r="P303" t="s">
        <v>64</v>
      </c>
      <c r="W303" t="str">
        <f t="shared" si="118"/>
        <v>美國國會圖書分類法</v>
      </c>
      <c r="Y303" t="str">
        <f>("HC412")</f>
        <v>HC412</v>
      </c>
      <c r="Z303" t="str">
        <f t="shared" si="131"/>
        <v>2018/08/11 13:34:12</v>
      </c>
      <c r="AA303" t="str">
        <f t="shared" si="114"/>
        <v>catc</v>
      </c>
      <c r="AC303" t="str">
        <f>("W894")</f>
        <v>W894</v>
      </c>
      <c r="AE303" t="str">
        <f t="shared" si="123"/>
        <v>c.1</v>
      </c>
      <c r="AF303" t="str">
        <f t="shared" si="126"/>
        <v>1.可借圖書</v>
      </c>
      <c r="AG303" t="str">
        <f t="shared" si="127"/>
        <v>在架</v>
      </c>
      <c r="AI303" t="s">
        <v>65</v>
      </c>
      <c r="AK303" t="str">
        <f t="shared" si="115"/>
        <v>一般(Normal)</v>
      </c>
      <c r="AO303" t="s">
        <v>65</v>
      </c>
      <c r="AS303" t="str">
        <f>("2000.")</f>
        <v>2000.</v>
      </c>
      <c r="AT303" t="str">
        <f t="shared" si="116"/>
        <v>catc</v>
      </c>
    </row>
    <row r="304" spans="1:46" x14ac:dyDescent="0.25">
      <c r="A304">
        <v>293</v>
      </c>
      <c r="B304" t="str">
        <f>("289202")</f>
        <v>289202</v>
      </c>
      <c r="C304" t="str">
        <f>("W00002329")</f>
        <v>W00002329</v>
      </c>
      <c r="D304" t="str">
        <f>("Fun and Gains:motivate andenergize staff with workplace games,contents andactivites/")</f>
        <v>Fun and Gains:motivate andenergize staff with workplace games,contents andactivites/</v>
      </c>
      <c r="E304" t="str">
        <f>("Greenwich,Carolyn")</f>
        <v>Greenwich,Carolyn</v>
      </c>
      <c r="F304" t="str">
        <f>("McGraw-Hill,")</f>
        <v>McGraw-Hill,</v>
      </c>
      <c r="H304" t="str">
        <f t="shared" si="124"/>
        <v>圖書 book</v>
      </c>
      <c r="I304" t="str">
        <f>("HG388.1 G816 2000")</f>
        <v>HG388.1 G816 2000</v>
      </c>
      <c r="J304" t="str">
        <f>("0074707701")</f>
        <v>0074707701</v>
      </c>
      <c r="K304" t="str">
        <f>("576")</f>
        <v>576</v>
      </c>
      <c r="L304" t="str">
        <f t="shared" si="113"/>
        <v>2001/10/10 00:00:00</v>
      </c>
      <c r="M304" t="str">
        <f t="shared" si="130"/>
        <v>2018/08/11 13:34:12</v>
      </c>
      <c r="N304" t="str">
        <f>("2000")</f>
        <v>2000</v>
      </c>
      <c r="O304" t="str">
        <f t="shared" si="125"/>
        <v>4F西文書庫 4F Western Language Books</v>
      </c>
      <c r="P304" t="s">
        <v>64</v>
      </c>
      <c r="Q304" t="str">
        <f>("光碟片1片")</f>
        <v>光碟片1片</v>
      </c>
      <c r="W304" t="str">
        <f t="shared" si="118"/>
        <v>美國國會圖書分類法</v>
      </c>
      <c r="Y304" t="str">
        <f>("HG388.1")</f>
        <v>HG388.1</v>
      </c>
      <c r="Z304" t="str">
        <f t="shared" si="131"/>
        <v>2018/08/11 13:34:12</v>
      </c>
      <c r="AA304" t="str">
        <f t="shared" si="114"/>
        <v>catc</v>
      </c>
      <c r="AC304" t="str">
        <f>("G816")</f>
        <v>G816</v>
      </c>
      <c r="AE304" t="str">
        <f t="shared" si="123"/>
        <v>c.1</v>
      </c>
      <c r="AF304" t="str">
        <f t="shared" si="126"/>
        <v>1.可借圖書</v>
      </c>
      <c r="AG304" t="str">
        <f t="shared" si="127"/>
        <v>在架</v>
      </c>
      <c r="AI304" t="s">
        <v>65</v>
      </c>
      <c r="AK304" t="str">
        <f t="shared" si="115"/>
        <v>一般(Normal)</v>
      </c>
      <c r="AO304" t="s">
        <v>65</v>
      </c>
      <c r="AS304" t="str">
        <f>("2000.")</f>
        <v>2000.</v>
      </c>
      <c r="AT304" t="str">
        <f t="shared" si="116"/>
        <v>catc</v>
      </c>
    </row>
    <row r="305" spans="1:46" x14ac:dyDescent="0.25">
      <c r="A305">
        <v>294</v>
      </c>
      <c r="B305" t="str">
        <f>("289223")</f>
        <v>289223</v>
      </c>
      <c r="C305" t="str">
        <f>("W00002330")</f>
        <v>W00002330</v>
      </c>
      <c r="D305" t="str">
        <f>("Action research :a guide for the teacher researcher /")</f>
        <v>Action research :a guide for the teacher researcher /</v>
      </c>
      <c r="E305" t="str">
        <f>("Mills, Geoffrey E. ")</f>
        <v xml:space="preserve">Mills, Geoffrey E. </v>
      </c>
      <c r="F305" t="str">
        <f>("Merrill,")</f>
        <v>Merrill,</v>
      </c>
      <c r="H305" t="str">
        <f t="shared" si="124"/>
        <v>圖書 book</v>
      </c>
      <c r="I305" t="str">
        <f>("LB1028.24 M657 2000")</f>
        <v>LB1028.24 M657 2000</v>
      </c>
      <c r="J305" t="str">
        <f>("0137720475")</f>
        <v>0137720475</v>
      </c>
      <c r="K305" t="str">
        <f>("832")</f>
        <v>832</v>
      </c>
      <c r="L305" t="str">
        <f t="shared" si="113"/>
        <v>2001/10/10 00:00:00</v>
      </c>
      <c r="M305" t="str">
        <f t="shared" si="130"/>
        <v>2018/08/11 13:34:12</v>
      </c>
      <c r="N305" t="str">
        <f>("2000")</f>
        <v>2000</v>
      </c>
      <c r="O305" t="str">
        <f t="shared" si="125"/>
        <v>4F西文書庫 4F Western Language Books</v>
      </c>
      <c r="P305" t="s">
        <v>64</v>
      </c>
      <c r="W305" t="str">
        <f t="shared" si="118"/>
        <v>美國國會圖書分類法</v>
      </c>
      <c r="Y305" t="str">
        <f>("LB1028.24")</f>
        <v>LB1028.24</v>
      </c>
      <c r="Z305" t="str">
        <f t="shared" si="131"/>
        <v>2018/08/11 13:34:12</v>
      </c>
      <c r="AA305" t="str">
        <f t="shared" si="114"/>
        <v>catc</v>
      </c>
      <c r="AC305" t="str">
        <f>("M657")</f>
        <v>M657</v>
      </c>
      <c r="AE305" t="str">
        <f t="shared" si="123"/>
        <v>c.1</v>
      </c>
      <c r="AF305" t="str">
        <f t="shared" si="126"/>
        <v>1.可借圖書</v>
      </c>
      <c r="AG305" t="str">
        <f t="shared" si="127"/>
        <v>在架</v>
      </c>
      <c r="AI305" t="s">
        <v>65</v>
      </c>
      <c r="AK305" t="str">
        <f t="shared" si="115"/>
        <v>一般(Normal)</v>
      </c>
      <c r="AO305" t="s">
        <v>65</v>
      </c>
      <c r="AS305" t="str">
        <f>("1999. ")</f>
        <v xml:space="preserve">1999. </v>
      </c>
      <c r="AT305" t="str">
        <f t="shared" si="116"/>
        <v>catc</v>
      </c>
    </row>
    <row r="306" spans="1:46" x14ac:dyDescent="0.25">
      <c r="A306">
        <v>295</v>
      </c>
      <c r="B306" t="str">
        <f>("289224")</f>
        <v>289224</v>
      </c>
      <c r="C306" t="str">
        <f>("W00002331")</f>
        <v>W00002331</v>
      </c>
      <c r="D306" t="str">
        <f>("Project Management")</f>
        <v>Project Management</v>
      </c>
      <c r="E306" t="str">
        <f>("Ralph Keeling")</f>
        <v>Ralph Keeling</v>
      </c>
      <c r="F306" t="str">
        <f>("Macmilla Press")</f>
        <v>Macmilla Press</v>
      </c>
      <c r="H306" t="str">
        <f t="shared" si="124"/>
        <v>圖書 book</v>
      </c>
      <c r="I306" t="str">
        <f>("HD38 R163 2000")</f>
        <v>HD38 R163 2000</v>
      </c>
      <c r="J306" t="str">
        <f>("0333777654")</f>
        <v>0333777654</v>
      </c>
      <c r="K306" t="str">
        <f>("832")</f>
        <v>832</v>
      </c>
      <c r="L306" t="str">
        <f t="shared" si="113"/>
        <v>2001/10/10 00:00:00</v>
      </c>
      <c r="M306" t="str">
        <f t="shared" ref="M306:M311" si="132">("2018/08/11 13:34:13")</f>
        <v>2018/08/11 13:34:13</v>
      </c>
      <c r="N306" t="str">
        <f>("2000")</f>
        <v>2000</v>
      </c>
      <c r="O306" t="str">
        <f t="shared" si="125"/>
        <v>4F西文書庫 4F Western Language Books</v>
      </c>
      <c r="P306" t="s">
        <v>64</v>
      </c>
      <c r="W306" t="str">
        <f t="shared" si="118"/>
        <v>美國國會圖書分類法</v>
      </c>
      <c r="Y306" t="str">
        <f>("HD38")</f>
        <v>HD38</v>
      </c>
      <c r="Z306" t="str">
        <f t="shared" si="131"/>
        <v>2018/08/11 13:34:12</v>
      </c>
      <c r="AA306" t="str">
        <f t="shared" si="114"/>
        <v>catc</v>
      </c>
      <c r="AC306" t="str">
        <f>("R163")</f>
        <v>R163</v>
      </c>
      <c r="AE306" t="str">
        <f t="shared" si="123"/>
        <v>c.1</v>
      </c>
      <c r="AF306" t="str">
        <f t="shared" si="126"/>
        <v>1.可借圖書</v>
      </c>
      <c r="AG306" t="str">
        <f t="shared" si="127"/>
        <v>在架</v>
      </c>
      <c r="AI306" t="s">
        <v>65</v>
      </c>
      <c r="AK306" t="str">
        <f t="shared" si="115"/>
        <v>一般(Normal)</v>
      </c>
      <c r="AO306" t="s">
        <v>65</v>
      </c>
      <c r="AS306" t="str">
        <f>("2000.")</f>
        <v>2000.</v>
      </c>
      <c r="AT306" t="str">
        <f t="shared" si="116"/>
        <v>catc</v>
      </c>
    </row>
    <row r="307" spans="1:46" x14ac:dyDescent="0.25">
      <c r="A307">
        <v>296</v>
      </c>
      <c r="B307" t="str">
        <f>("289225")</f>
        <v>289225</v>
      </c>
      <c r="C307" t="str">
        <f>("W00002332")</f>
        <v>W00002332</v>
      </c>
      <c r="D307" t="str">
        <f>("Teaching and training in post-compulsory education /")</f>
        <v>Teaching and training in post-compulsory education /</v>
      </c>
      <c r="E307" t="str">
        <f>("Armitage, Andy,1950- ")</f>
        <v xml:space="preserve">Armitage, Andy,1950- </v>
      </c>
      <c r="F307" t="str">
        <f>("Open University Press,")</f>
        <v>Open University Press,</v>
      </c>
      <c r="H307" t="str">
        <f t="shared" si="124"/>
        <v>圖書 book</v>
      </c>
      <c r="I307" t="str">
        <f>("LC1039.8 A733 1999")</f>
        <v>LC1039.8 A733 1999</v>
      </c>
      <c r="J307" t="str">
        <f>("0335200672")</f>
        <v>0335200672</v>
      </c>
      <c r="K307" t="str">
        <f>("748")</f>
        <v>748</v>
      </c>
      <c r="L307" t="str">
        <f t="shared" si="113"/>
        <v>2001/10/10 00:00:00</v>
      </c>
      <c r="M307" t="str">
        <f t="shared" si="132"/>
        <v>2018/08/11 13:34:13</v>
      </c>
      <c r="N307" t="str">
        <f>("1999")</f>
        <v>1999</v>
      </c>
      <c r="O307" t="str">
        <f t="shared" si="125"/>
        <v>4F西文書庫 4F Western Language Books</v>
      </c>
      <c r="P307" t="s">
        <v>64</v>
      </c>
      <c r="W307" t="str">
        <f t="shared" si="118"/>
        <v>美國國會圖書分類法</v>
      </c>
      <c r="Y307" t="str">
        <f>("LC1039.8")</f>
        <v>LC1039.8</v>
      </c>
      <c r="Z307" t="str">
        <f>("2018/08/11 13:34:13")</f>
        <v>2018/08/11 13:34:13</v>
      </c>
      <c r="AA307" t="str">
        <f t="shared" si="114"/>
        <v>catc</v>
      </c>
      <c r="AC307" t="str">
        <f>("A733")</f>
        <v>A733</v>
      </c>
      <c r="AE307" t="str">
        <f t="shared" si="123"/>
        <v>c.1</v>
      </c>
      <c r="AF307" t="str">
        <f t="shared" si="126"/>
        <v>1.可借圖書</v>
      </c>
      <c r="AG307" t="str">
        <f t="shared" si="127"/>
        <v>在架</v>
      </c>
      <c r="AI307" t="s">
        <v>65</v>
      </c>
      <c r="AK307" t="str">
        <f t="shared" si="115"/>
        <v>一般(Normal)</v>
      </c>
      <c r="AO307" t="s">
        <v>65</v>
      </c>
      <c r="AS307" t="str">
        <f>("1999. ")</f>
        <v xml:space="preserve">1999. </v>
      </c>
      <c r="AT307" t="str">
        <f t="shared" si="116"/>
        <v>catc</v>
      </c>
    </row>
    <row r="308" spans="1:46" x14ac:dyDescent="0.25">
      <c r="A308">
        <v>297</v>
      </c>
      <c r="B308" t="str">
        <f>("289226")</f>
        <v>289226</v>
      </c>
      <c r="C308" t="str">
        <f>("W00002333")</f>
        <v>W00002333</v>
      </c>
      <c r="D308" t="str">
        <f>("Surgery :700 questions and answers /")</f>
        <v>Surgery :700 questions and answers /</v>
      </c>
      <c r="E308" t="str">
        <f>("Metzler, Michael H ")</f>
        <v xml:space="preserve">Metzler, Michael H </v>
      </c>
      <c r="F308" t="str">
        <f>("Appleton &amp; Lange,")</f>
        <v>Appleton &amp; Lange,</v>
      </c>
      <c r="G308" t="str">
        <f>("11th ed ")</f>
        <v xml:space="preserve">11th ed </v>
      </c>
      <c r="H308" t="str">
        <f t="shared" si="124"/>
        <v>圖書 book</v>
      </c>
      <c r="I308" t="str">
        <f>("WO500 M596 1995")</f>
        <v>WO500 M596 1995</v>
      </c>
      <c r="J308" t="str">
        <f>("083856237")</f>
        <v>083856237</v>
      </c>
      <c r="K308" t="str">
        <f>("448")</f>
        <v>448</v>
      </c>
      <c r="L308" t="str">
        <f t="shared" si="113"/>
        <v>2001/10/10 00:00:00</v>
      </c>
      <c r="M308" t="str">
        <f t="shared" si="132"/>
        <v>2018/08/11 13:34:13</v>
      </c>
      <c r="N308" t="str">
        <f>("1995")</f>
        <v>1995</v>
      </c>
      <c r="O308" t="str">
        <f t="shared" si="125"/>
        <v>4F西文書庫 4F Western Language Books</v>
      </c>
      <c r="P308" t="s">
        <v>64</v>
      </c>
      <c r="W308" t="str">
        <f>("美國國家醫學圖書館分類法")</f>
        <v>美國國家醫學圖書館分類法</v>
      </c>
      <c r="Y308" t="str">
        <f>("WO500")</f>
        <v>WO500</v>
      </c>
      <c r="Z308" t="str">
        <f>("2018/08/11 13:34:13")</f>
        <v>2018/08/11 13:34:13</v>
      </c>
      <c r="AA308" t="str">
        <f t="shared" si="114"/>
        <v>catc</v>
      </c>
      <c r="AC308" t="str">
        <f>("M596")</f>
        <v>M596</v>
      </c>
      <c r="AE308" t="str">
        <f t="shared" ref="AE308:AE339" si="133">("c.1")</f>
        <v>c.1</v>
      </c>
      <c r="AF308" t="str">
        <f t="shared" si="126"/>
        <v>1.可借圖書</v>
      </c>
      <c r="AG308" t="str">
        <f t="shared" si="127"/>
        <v>在架</v>
      </c>
      <c r="AI308" t="s">
        <v>65</v>
      </c>
      <c r="AK308" t="str">
        <f t="shared" si="115"/>
        <v>一般(Normal)</v>
      </c>
      <c r="AO308" t="s">
        <v>65</v>
      </c>
      <c r="AS308" t="str">
        <f>("c1995 ")</f>
        <v xml:space="preserve">c1995 </v>
      </c>
      <c r="AT308" t="str">
        <f t="shared" si="116"/>
        <v>catc</v>
      </c>
    </row>
    <row r="309" spans="1:46" x14ac:dyDescent="0.25">
      <c r="A309">
        <v>298</v>
      </c>
      <c r="B309" t="str">
        <f>("289227")</f>
        <v>289227</v>
      </c>
      <c r="C309" t="str">
        <f>("W00002334")</f>
        <v>W00002334</v>
      </c>
      <c r="D309" t="str">
        <f>("The elements of reasoning /")</f>
        <v>The elements of reasoning /</v>
      </c>
      <c r="E309" t="str">
        <f>("Conway, David,1947- ")</f>
        <v xml:space="preserve">Conway, David,1947- </v>
      </c>
      <c r="F309" t="str">
        <f>("Wadsworth Pub. Co.,")</f>
        <v>Wadsworth Pub. Co.,</v>
      </c>
      <c r="G309" t="str">
        <f>("2nd ed. ")</f>
        <v xml:space="preserve">2nd ed. </v>
      </c>
      <c r="H309" t="str">
        <f t="shared" si="124"/>
        <v>圖書 book</v>
      </c>
      <c r="I309" t="str">
        <f>("BC177 C767 1997")</f>
        <v>BC177 C767 1997</v>
      </c>
      <c r="J309" t="str">
        <f>("0534516726")</f>
        <v>0534516726</v>
      </c>
      <c r="K309" t="str">
        <f>("728")</f>
        <v>728</v>
      </c>
      <c r="L309" t="str">
        <f t="shared" si="113"/>
        <v>2001/10/10 00:00:00</v>
      </c>
      <c r="M309" t="str">
        <f t="shared" si="132"/>
        <v>2018/08/11 13:34:13</v>
      </c>
      <c r="N309" t="str">
        <f>("1997")</f>
        <v>1997</v>
      </c>
      <c r="O309" t="str">
        <f t="shared" si="125"/>
        <v>4F西文書庫 4F Western Language Books</v>
      </c>
      <c r="P309" t="s">
        <v>64</v>
      </c>
      <c r="W309" t="str">
        <f t="shared" ref="W309:W372" si="134">("美國國會圖書分類法")</f>
        <v>美國國會圖書分類法</v>
      </c>
      <c r="Y309" t="str">
        <f>("BC177")</f>
        <v>BC177</v>
      </c>
      <c r="Z309" t="str">
        <f>("2018/08/11 13:34:13")</f>
        <v>2018/08/11 13:34:13</v>
      </c>
      <c r="AA309" t="str">
        <f t="shared" si="114"/>
        <v>catc</v>
      </c>
      <c r="AC309" t="str">
        <f>("C767")</f>
        <v>C767</v>
      </c>
      <c r="AE309" t="str">
        <f t="shared" si="133"/>
        <v>c.1</v>
      </c>
      <c r="AF309" t="str">
        <f t="shared" si="126"/>
        <v>1.可借圖書</v>
      </c>
      <c r="AG309" t="str">
        <f t="shared" si="127"/>
        <v>在架</v>
      </c>
      <c r="AI309" t="s">
        <v>65</v>
      </c>
      <c r="AK309" t="str">
        <f t="shared" si="115"/>
        <v>一般(Normal)</v>
      </c>
      <c r="AO309" t="s">
        <v>65</v>
      </c>
      <c r="AS309" t="str">
        <f>("c1997. ")</f>
        <v xml:space="preserve">c1997. </v>
      </c>
      <c r="AT309" t="str">
        <f t="shared" si="116"/>
        <v>catc</v>
      </c>
    </row>
    <row r="310" spans="1:46" x14ac:dyDescent="0.25">
      <c r="A310">
        <v>299</v>
      </c>
      <c r="B310" t="str">
        <f>("289203")</f>
        <v>289203</v>
      </c>
      <c r="C310" t="str">
        <f>("W00002335")</f>
        <v>W00002335</v>
      </c>
      <c r="D310" t="str">
        <f>("Manual of medical-surgical nursing care : nursing interventions and collaborative management / ")</f>
        <v xml:space="preserve">Manual of medical-surgical nursing care : nursing interventions and collaborative management / </v>
      </c>
      <c r="E310" t="str">
        <f>("Swearingen, Pamela L. ")</f>
        <v xml:space="preserve">Swearingen, Pamela L. </v>
      </c>
      <c r="F310" t="str">
        <f>("Mosby, ")</f>
        <v xml:space="preserve">Mosby, </v>
      </c>
      <c r="G310" t="str">
        <f>("4th ed. ")</f>
        <v xml:space="preserve">4th ed. </v>
      </c>
      <c r="H310" t="str">
        <f t="shared" si="124"/>
        <v>圖書 book</v>
      </c>
      <c r="I310" t="str">
        <f>("RT51 S974 1999")</f>
        <v>RT51 S974 1999</v>
      </c>
      <c r="J310" t="str">
        <f>("0815127448")</f>
        <v>0815127448</v>
      </c>
      <c r="K310" t="str">
        <f>("1008")</f>
        <v>1008</v>
      </c>
      <c r="L310" t="str">
        <f t="shared" si="113"/>
        <v>2001/10/10 00:00:00</v>
      </c>
      <c r="M310" t="str">
        <f t="shared" si="132"/>
        <v>2018/08/11 13:34:13</v>
      </c>
      <c r="N310" t="str">
        <f>("1999")</f>
        <v>1999</v>
      </c>
      <c r="O310" t="str">
        <f t="shared" si="125"/>
        <v>4F西文書庫 4F Western Language Books</v>
      </c>
      <c r="P310" t="s">
        <v>64</v>
      </c>
      <c r="W310" t="str">
        <f t="shared" si="134"/>
        <v>美國國會圖書分類法</v>
      </c>
      <c r="Y310" t="str">
        <f>("RT51")</f>
        <v>RT51</v>
      </c>
      <c r="Z310" t="str">
        <f>("2018/08/11 13:34:13")</f>
        <v>2018/08/11 13:34:13</v>
      </c>
      <c r="AA310" t="str">
        <f t="shared" si="114"/>
        <v>catc</v>
      </c>
      <c r="AC310" t="str">
        <f>("S974")</f>
        <v>S974</v>
      </c>
      <c r="AE310" t="str">
        <f t="shared" si="133"/>
        <v>c.1</v>
      </c>
      <c r="AF310" t="str">
        <f t="shared" si="126"/>
        <v>1.可借圖書</v>
      </c>
      <c r="AG310" t="str">
        <f t="shared" si="127"/>
        <v>在架</v>
      </c>
      <c r="AI310" t="s">
        <v>65</v>
      </c>
      <c r="AK310" t="str">
        <f t="shared" si="115"/>
        <v>一般(Normal)</v>
      </c>
      <c r="AO310" t="s">
        <v>65</v>
      </c>
      <c r="AS310" t="str">
        <f>("c1999. ")</f>
        <v xml:space="preserve">c1999. </v>
      </c>
      <c r="AT310" t="str">
        <f t="shared" si="116"/>
        <v>catc</v>
      </c>
    </row>
    <row r="311" spans="1:46" x14ac:dyDescent="0.25">
      <c r="A311">
        <v>300</v>
      </c>
      <c r="B311" t="str">
        <f>("289204")</f>
        <v>289204</v>
      </c>
      <c r="C311" t="str">
        <f>("W00002336")</f>
        <v>W00002336</v>
      </c>
      <c r="D311" t="str">
        <f>("The entrepreneur : twenty-one golden rules for the global business manager / ")</f>
        <v xml:space="preserve">The entrepreneur : twenty-one golden rules for the global business manager / </v>
      </c>
      <c r="E311" t="str">
        <f>("Heinecke, William. ")</f>
        <v xml:space="preserve">Heinecke, William. </v>
      </c>
      <c r="F311" t="str">
        <f>("Wiley, ")</f>
        <v xml:space="preserve">Wiley, </v>
      </c>
      <c r="H311" t="str">
        <f t="shared" si="124"/>
        <v>圖書 book</v>
      </c>
      <c r="I311" t="str">
        <f>("HF5386 H468 2000")</f>
        <v>HF5386 H468 2000</v>
      </c>
      <c r="J311" t="str">
        <f>("0471835579")</f>
        <v>0471835579</v>
      </c>
      <c r="K311" t="str">
        <f>("544")</f>
        <v>544</v>
      </c>
      <c r="L311" t="str">
        <f t="shared" si="113"/>
        <v>2001/10/10 00:00:00</v>
      </c>
      <c r="M311" t="str">
        <f t="shared" si="132"/>
        <v>2018/08/11 13:34:13</v>
      </c>
      <c r="N311" t="str">
        <f>("2000")</f>
        <v>2000</v>
      </c>
      <c r="O311" t="str">
        <f t="shared" si="125"/>
        <v>4F西文書庫 4F Western Language Books</v>
      </c>
      <c r="P311" t="s">
        <v>64</v>
      </c>
      <c r="W311" t="str">
        <f t="shared" si="134"/>
        <v>美國國會圖書分類法</v>
      </c>
      <c r="Y311" t="str">
        <f>("HF5386")</f>
        <v>HF5386</v>
      </c>
      <c r="Z311" t="str">
        <f>("2018/08/11 13:34:13")</f>
        <v>2018/08/11 13:34:13</v>
      </c>
      <c r="AA311" t="str">
        <f t="shared" si="114"/>
        <v>catc</v>
      </c>
      <c r="AC311" t="str">
        <f>("H468")</f>
        <v>H468</v>
      </c>
      <c r="AE311" t="str">
        <f t="shared" si="133"/>
        <v>c.1</v>
      </c>
      <c r="AF311" t="str">
        <f t="shared" si="126"/>
        <v>1.可借圖書</v>
      </c>
      <c r="AG311" t="str">
        <f t="shared" si="127"/>
        <v>在架</v>
      </c>
      <c r="AI311" t="s">
        <v>65</v>
      </c>
      <c r="AK311" t="str">
        <f t="shared" si="115"/>
        <v>一般(Normal)</v>
      </c>
      <c r="AO311" t="s">
        <v>65</v>
      </c>
      <c r="AS311" t="str">
        <f>("c2000. ")</f>
        <v xml:space="preserve">c2000. </v>
      </c>
      <c r="AT311" t="str">
        <f t="shared" si="116"/>
        <v>catc</v>
      </c>
    </row>
    <row r="312" spans="1:46" x14ac:dyDescent="0.25">
      <c r="A312">
        <v>301</v>
      </c>
      <c r="B312" t="str">
        <f>("288203")</f>
        <v>288203</v>
      </c>
      <c r="C312" t="str">
        <f>("W00002337")</f>
        <v>W00002337</v>
      </c>
      <c r="D312" t="str">
        <f>("Ernst &amp; Young's financial planning for women. ")</f>
        <v xml:space="preserve">Ernst &amp; Young's financial planning for women. </v>
      </c>
      <c r="E312" t="str">
        <f>("Ernst &amp; Young. ")</f>
        <v xml:space="preserve">Ernst &amp; Young. </v>
      </c>
      <c r="F312" t="str">
        <f>("Wiley,")</f>
        <v>Wiley,</v>
      </c>
      <c r="H312" t="str">
        <f t="shared" si="124"/>
        <v>圖書 book</v>
      </c>
      <c r="I312" t="str">
        <f>("HG179 E65 1999")</f>
        <v>HG179 E65 1999</v>
      </c>
      <c r="J312" t="str">
        <f>("0471316458")</f>
        <v>0471316458</v>
      </c>
      <c r="K312" t="str">
        <f>("476")</f>
        <v>476</v>
      </c>
      <c r="L312" t="str">
        <f t="shared" si="113"/>
        <v>2001/10/10 00:00:00</v>
      </c>
      <c r="M312" t="str">
        <f>("2018/08/11 13:32:35")</f>
        <v>2018/08/11 13:32:35</v>
      </c>
      <c r="N312" t="str">
        <f>("1999")</f>
        <v>1999</v>
      </c>
      <c r="O312" t="str">
        <f t="shared" ref="O312:O343" si="135">("4F西文書庫 4F Western Language Books")</f>
        <v>4F西文書庫 4F Western Language Books</v>
      </c>
      <c r="P312" t="s">
        <v>64</v>
      </c>
      <c r="S312" t="str">
        <f>("x, 241 p. :")</f>
        <v>x, 241 p. :</v>
      </c>
      <c r="T312" t="str">
        <f>("ill. ;")</f>
        <v>ill. ;</v>
      </c>
      <c r="U312" t="str">
        <f>("24 cm. ")</f>
        <v xml:space="preserve">24 cm. </v>
      </c>
      <c r="W312" t="str">
        <f t="shared" si="134"/>
        <v>美國國會圖書分類法</v>
      </c>
      <c r="Y312" t="str">
        <f>("HG179")</f>
        <v>HG179</v>
      </c>
      <c r="Z312" t="str">
        <f>("2018/08/11 13:32:35")</f>
        <v>2018/08/11 13:32:35</v>
      </c>
      <c r="AA312" t="str">
        <f t="shared" si="114"/>
        <v>catc</v>
      </c>
      <c r="AC312" t="str">
        <f>("E65")</f>
        <v>E65</v>
      </c>
      <c r="AE312" t="str">
        <f t="shared" si="133"/>
        <v>c.1</v>
      </c>
      <c r="AF312" t="str">
        <f t="shared" ref="AF312:AF343" si="136">("1.可借圖書")</f>
        <v>1.可借圖書</v>
      </c>
      <c r="AG312" t="str">
        <f t="shared" ref="AG312:AG328" si="137">("在架")</f>
        <v>在架</v>
      </c>
      <c r="AI312" t="s">
        <v>65</v>
      </c>
      <c r="AK312" t="str">
        <f t="shared" si="115"/>
        <v>一般(Normal)</v>
      </c>
      <c r="AO312" t="s">
        <v>65</v>
      </c>
      <c r="AS312" t="str">
        <f>("c1999. ")</f>
        <v xml:space="preserve">c1999. </v>
      </c>
      <c r="AT312" t="str">
        <f t="shared" si="116"/>
        <v>catc</v>
      </c>
    </row>
    <row r="313" spans="1:46" x14ac:dyDescent="0.25">
      <c r="A313">
        <v>302</v>
      </c>
      <c r="B313" t="str">
        <f>("289205")</f>
        <v>289205</v>
      </c>
      <c r="C313" t="str">
        <f>("W00002338")</f>
        <v>W00002338</v>
      </c>
      <c r="D313" t="str">
        <f>("The technology leaders : how America's most profitable high-tech companies innovate their way to success / ")</f>
        <v xml:space="preserve">The technology leaders : how America's most profitable high-tech companies innovate their way to success / </v>
      </c>
      <c r="E313" t="str">
        <f>("Cohan, Peter S., 1957- ")</f>
        <v xml:space="preserve">Cohan, Peter S., 1957- </v>
      </c>
      <c r="F313" t="str">
        <f>("Jossey-Bass Publishers, ")</f>
        <v xml:space="preserve">Jossey-Bass Publishers, </v>
      </c>
      <c r="G313" t="str">
        <f>("1st ed. ")</f>
        <v xml:space="preserve">1st ed. </v>
      </c>
      <c r="H313" t="str">
        <f t="shared" si="124"/>
        <v>圖書 book</v>
      </c>
      <c r="I313" t="str">
        <f>("HD62.37 C678 1997")</f>
        <v>HD62.37 C678 1997</v>
      </c>
      <c r="J313" t="str">
        <f>("0787910724")</f>
        <v>0787910724</v>
      </c>
      <c r="K313" t="str">
        <f>("1032")</f>
        <v>1032</v>
      </c>
      <c r="L313" t="str">
        <f t="shared" si="113"/>
        <v>2001/10/10 00:00:00</v>
      </c>
      <c r="M313" t="str">
        <f>("2018/08/11 13:34:13")</f>
        <v>2018/08/11 13:34:13</v>
      </c>
      <c r="N313" t="str">
        <f>("1997")</f>
        <v>1997</v>
      </c>
      <c r="O313" t="str">
        <f t="shared" si="135"/>
        <v>4F西文書庫 4F Western Language Books</v>
      </c>
      <c r="P313" t="s">
        <v>64</v>
      </c>
      <c r="W313" t="str">
        <f t="shared" si="134"/>
        <v>美國國會圖書分類法</v>
      </c>
      <c r="Y313" t="str">
        <f>("HD62.37")</f>
        <v>HD62.37</v>
      </c>
      <c r="Z313" t="str">
        <f>("2018/08/11 13:34:13")</f>
        <v>2018/08/11 13:34:13</v>
      </c>
      <c r="AA313" t="str">
        <f t="shared" si="114"/>
        <v>catc</v>
      </c>
      <c r="AC313" t="str">
        <f>("C678")</f>
        <v>C678</v>
      </c>
      <c r="AE313" t="str">
        <f t="shared" si="133"/>
        <v>c.1</v>
      </c>
      <c r="AF313" t="str">
        <f t="shared" si="136"/>
        <v>1.可借圖書</v>
      </c>
      <c r="AG313" t="str">
        <f t="shared" si="137"/>
        <v>在架</v>
      </c>
      <c r="AI313" t="s">
        <v>65</v>
      </c>
      <c r="AK313" t="str">
        <f t="shared" si="115"/>
        <v>一般(Normal)</v>
      </c>
      <c r="AO313" t="s">
        <v>65</v>
      </c>
      <c r="AS313" t="str">
        <f>("c1997. ")</f>
        <v xml:space="preserve">c1997. </v>
      </c>
      <c r="AT313" t="str">
        <f t="shared" si="116"/>
        <v>catc</v>
      </c>
    </row>
    <row r="314" spans="1:46" x14ac:dyDescent="0.25">
      <c r="A314">
        <v>303</v>
      </c>
      <c r="B314" t="str">
        <f>("289206")</f>
        <v>289206</v>
      </c>
      <c r="C314" t="str">
        <f>("W00002339")</f>
        <v>W00002339</v>
      </c>
      <c r="D314" t="str">
        <f>("Doing e-business : strategies for thriving in an electronic marketplace / ")</f>
        <v xml:space="preserve">Doing e-business : strategies for thriving in an electronic marketplace / </v>
      </c>
      <c r="E314" t="str">
        <f>("Taylor, David. ")</f>
        <v xml:space="preserve">Taylor, David. </v>
      </c>
      <c r="F314" t="str">
        <f>("John Wiley, ")</f>
        <v xml:space="preserve">John Wiley, </v>
      </c>
      <c r="H314" t="str">
        <f t="shared" si="124"/>
        <v>圖書 book</v>
      </c>
      <c r="I314" t="str">
        <f>("HF5548.32 T238 2001")</f>
        <v>HF5548.32 T238 2001</v>
      </c>
      <c r="J314" t="str">
        <f>("0471380652")</f>
        <v>0471380652</v>
      </c>
      <c r="K314" t="str">
        <f>("912")</f>
        <v>912</v>
      </c>
      <c r="L314" t="str">
        <f t="shared" si="113"/>
        <v>2001/10/10 00:00:00</v>
      </c>
      <c r="M314" t="str">
        <f>("2018/08/11 13:34:13")</f>
        <v>2018/08/11 13:34:13</v>
      </c>
      <c r="N314" t="str">
        <f>("2001")</f>
        <v>2001</v>
      </c>
      <c r="O314" t="str">
        <f t="shared" si="135"/>
        <v>4F西文書庫 4F Western Language Books</v>
      </c>
      <c r="P314" t="s">
        <v>64</v>
      </c>
      <c r="W314" t="str">
        <f t="shared" si="134"/>
        <v>美國國會圖書分類法</v>
      </c>
      <c r="Y314" t="str">
        <f>("HF5548.32")</f>
        <v>HF5548.32</v>
      </c>
      <c r="Z314" t="str">
        <f>("2018/08/11 13:34:13")</f>
        <v>2018/08/11 13:34:13</v>
      </c>
      <c r="AA314" t="str">
        <f t="shared" si="114"/>
        <v>catc</v>
      </c>
      <c r="AC314" t="str">
        <f>("T238")</f>
        <v>T238</v>
      </c>
      <c r="AE314" t="str">
        <f t="shared" si="133"/>
        <v>c.1</v>
      </c>
      <c r="AF314" t="str">
        <f t="shared" si="136"/>
        <v>1.可借圖書</v>
      </c>
      <c r="AG314" t="str">
        <f t="shared" si="137"/>
        <v>在架</v>
      </c>
      <c r="AI314" t="s">
        <v>65</v>
      </c>
      <c r="AK314" t="str">
        <f t="shared" si="115"/>
        <v>一般(Normal)</v>
      </c>
      <c r="AO314" t="s">
        <v>65</v>
      </c>
      <c r="AS314" t="str">
        <f>("c2000. ")</f>
        <v xml:space="preserve">c2000. </v>
      </c>
      <c r="AT314" t="str">
        <f t="shared" si="116"/>
        <v>catc</v>
      </c>
    </row>
    <row r="315" spans="1:46" x14ac:dyDescent="0.25">
      <c r="A315">
        <v>304</v>
      </c>
      <c r="B315" t="str">
        <f>("289207")</f>
        <v>289207</v>
      </c>
      <c r="C315" t="str">
        <f>("W00002340")</f>
        <v>W00002340</v>
      </c>
      <c r="D315" t="str">
        <f>("Getting started in options / ")</f>
        <v xml:space="preserve">Getting started in options / </v>
      </c>
      <c r="E315" t="str">
        <f>("Thomsett, Michael C. ")</f>
        <v xml:space="preserve">Thomsett, Michael C. </v>
      </c>
      <c r="F315" t="str">
        <f>("Wiley, ")</f>
        <v xml:space="preserve">Wiley, </v>
      </c>
      <c r="G315" t="str">
        <f>("4th ed. ")</f>
        <v xml:space="preserve">4th ed. </v>
      </c>
      <c r="H315" t="str">
        <f t="shared" si="124"/>
        <v>圖書 book</v>
      </c>
      <c r="I315" t="str">
        <f>("HG6042 T481 2001")</f>
        <v>HG6042 T481 2001</v>
      </c>
      <c r="K315" t="str">
        <f>("608")</f>
        <v>608</v>
      </c>
      <c r="L315" t="str">
        <f t="shared" si="113"/>
        <v>2001/10/10 00:00:00</v>
      </c>
      <c r="M315" t="str">
        <f>("2018/08/11 13:34:13")</f>
        <v>2018/08/11 13:34:13</v>
      </c>
      <c r="N315" t="str">
        <f>("2001")</f>
        <v>2001</v>
      </c>
      <c r="O315" t="str">
        <f t="shared" si="135"/>
        <v>4F西文書庫 4F Western Language Books</v>
      </c>
      <c r="P315" t="s">
        <v>64</v>
      </c>
      <c r="W315" t="str">
        <f t="shared" si="134"/>
        <v>美國國會圖書分類法</v>
      </c>
      <c r="Y315" t="str">
        <f>("HG6042")</f>
        <v>HG6042</v>
      </c>
      <c r="Z315" t="str">
        <f>("2018/08/11 13:34:13")</f>
        <v>2018/08/11 13:34:13</v>
      </c>
      <c r="AA315" t="str">
        <f t="shared" si="114"/>
        <v>catc</v>
      </c>
      <c r="AC315" t="str">
        <f>("T481")</f>
        <v>T481</v>
      </c>
      <c r="AE315" t="str">
        <f t="shared" si="133"/>
        <v>c.1</v>
      </c>
      <c r="AF315" t="str">
        <f t="shared" si="136"/>
        <v>1.可借圖書</v>
      </c>
      <c r="AG315" t="str">
        <f t="shared" si="137"/>
        <v>在架</v>
      </c>
      <c r="AI315" t="s">
        <v>65</v>
      </c>
      <c r="AK315" t="str">
        <f t="shared" si="115"/>
        <v>一般(Normal)</v>
      </c>
      <c r="AO315" t="s">
        <v>65</v>
      </c>
      <c r="AS315" t="str">
        <f>("c2001. ")</f>
        <v xml:space="preserve">c2001. </v>
      </c>
      <c r="AT315" t="str">
        <f t="shared" si="116"/>
        <v>catc</v>
      </c>
    </row>
    <row r="316" spans="1:46" x14ac:dyDescent="0.25">
      <c r="A316">
        <v>305</v>
      </c>
      <c r="B316" t="str">
        <f>("289228")</f>
        <v>289228</v>
      </c>
      <c r="C316" t="str">
        <f>("W00002341")</f>
        <v>W00002341</v>
      </c>
      <c r="D316" t="str">
        <f>("Managing explosive corporate growth /")</f>
        <v>Managing explosive corporate growth /</v>
      </c>
      <c r="E316" t="str">
        <f>("Bragg, Steven M. ")</f>
        <v xml:space="preserve">Bragg, Steven M. </v>
      </c>
      <c r="F316" t="str">
        <f>("Wiley,")</f>
        <v>Wiley,</v>
      </c>
      <c r="H316" t="str">
        <f t="shared" si="124"/>
        <v>圖書 book</v>
      </c>
      <c r="I316" t="str">
        <f>("HF5657.4 B813 1999")</f>
        <v>HF5657.4 B813 1999</v>
      </c>
      <c r="J316" t="str">
        <f>("0471296899")</f>
        <v>0471296899</v>
      </c>
      <c r="K316" t="str">
        <f>("952")</f>
        <v>952</v>
      </c>
      <c r="L316" t="str">
        <f t="shared" si="113"/>
        <v>2001/10/10 00:00:00</v>
      </c>
      <c r="M316" t="str">
        <f>("2018/08/11 13:34:13")</f>
        <v>2018/08/11 13:34:13</v>
      </c>
      <c r="N316" t="str">
        <f>("1999")</f>
        <v>1999</v>
      </c>
      <c r="O316" t="str">
        <f t="shared" si="135"/>
        <v>4F西文書庫 4F Western Language Books</v>
      </c>
      <c r="P316" t="s">
        <v>64</v>
      </c>
      <c r="W316" t="str">
        <f t="shared" si="134"/>
        <v>美國國會圖書分類法</v>
      </c>
      <c r="Y316" t="str">
        <f>("HF5657.4")</f>
        <v>HF5657.4</v>
      </c>
      <c r="Z316" t="str">
        <f>("2018/08/11 13:34:13")</f>
        <v>2018/08/11 13:34:13</v>
      </c>
      <c r="AA316" t="str">
        <f t="shared" si="114"/>
        <v>catc</v>
      </c>
      <c r="AC316" t="str">
        <f>("B813")</f>
        <v>B813</v>
      </c>
      <c r="AE316" t="str">
        <f t="shared" si="133"/>
        <v>c.1</v>
      </c>
      <c r="AF316" t="str">
        <f t="shared" si="136"/>
        <v>1.可借圖書</v>
      </c>
      <c r="AG316" t="str">
        <f t="shared" si="137"/>
        <v>在架</v>
      </c>
      <c r="AI316" t="s">
        <v>65</v>
      </c>
      <c r="AK316" t="str">
        <f t="shared" si="115"/>
        <v>一般(Normal)</v>
      </c>
      <c r="AO316" t="s">
        <v>65</v>
      </c>
      <c r="AS316" t="str">
        <f>("c1999. ")</f>
        <v xml:space="preserve">c1999. </v>
      </c>
      <c r="AT316" t="str">
        <f t="shared" si="116"/>
        <v>catc</v>
      </c>
    </row>
    <row r="317" spans="1:46" x14ac:dyDescent="0.25">
      <c r="A317">
        <v>306</v>
      </c>
      <c r="B317" t="str">
        <f>("289229")</f>
        <v>289229</v>
      </c>
      <c r="C317" t="str">
        <f>("W00002342")</f>
        <v>W00002342</v>
      </c>
      <c r="D317" t="str">
        <f>("Service management :strategy and leadership in service business /")</f>
        <v>Service management :strategy and leadership in service business /</v>
      </c>
      <c r="E317" t="str">
        <f>("Normann, Richard,1943- ")</f>
        <v xml:space="preserve">Normann, Richard,1943- </v>
      </c>
      <c r="F317" t="str">
        <f>("Wiley,")</f>
        <v>Wiley,</v>
      </c>
      <c r="G317" t="str">
        <f>("3rd ed. ")</f>
        <v xml:space="preserve">3rd ed. </v>
      </c>
      <c r="H317" t="str">
        <f t="shared" si="124"/>
        <v>圖書 book</v>
      </c>
      <c r="I317" t="str">
        <f>("HD9980.5 N843 2000")</f>
        <v>HD9980.5 N843 2000</v>
      </c>
      <c r="J317" t="str">
        <f>("0471494399")</f>
        <v>0471494399</v>
      </c>
      <c r="K317" t="str">
        <f>("972")</f>
        <v>972</v>
      </c>
      <c r="L317" t="str">
        <f t="shared" si="113"/>
        <v>2001/10/10 00:00:00</v>
      </c>
      <c r="M317" t="str">
        <f t="shared" ref="M317:M325" si="138">("2018/08/11 13:34:14")</f>
        <v>2018/08/11 13:34:14</v>
      </c>
      <c r="N317" t="str">
        <f>("2000")</f>
        <v>2000</v>
      </c>
      <c r="O317" t="str">
        <f t="shared" si="135"/>
        <v>4F西文書庫 4F Western Language Books</v>
      </c>
      <c r="P317" t="s">
        <v>64</v>
      </c>
      <c r="W317" t="str">
        <f t="shared" si="134"/>
        <v>美國國會圖書分類法</v>
      </c>
      <c r="Y317" t="str">
        <f>("HD9980.5")</f>
        <v>HD9980.5</v>
      </c>
      <c r="Z317" t="str">
        <f>("2018/08/11 13:34:13")</f>
        <v>2018/08/11 13:34:13</v>
      </c>
      <c r="AA317" t="str">
        <f t="shared" si="114"/>
        <v>catc</v>
      </c>
      <c r="AC317" t="str">
        <f>("N843")</f>
        <v>N843</v>
      </c>
      <c r="AE317" t="str">
        <f t="shared" si="133"/>
        <v>c.1</v>
      </c>
      <c r="AF317" t="str">
        <f t="shared" si="136"/>
        <v>1.可借圖書</v>
      </c>
      <c r="AG317" t="str">
        <f t="shared" si="137"/>
        <v>在架</v>
      </c>
      <c r="AI317" t="s">
        <v>65</v>
      </c>
      <c r="AK317" t="str">
        <f t="shared" si="115"/>
        <v>一般(Normal)</v>
      </c>
      <c r="AO317" t="s">
        <v>65</v>
      </c>
      <c r="AS317" t="str">
        <f>("c2000. ")</f>
        <v xml:space="preserve">c2000. </v>
      </c>
      <c r="AT317" t="str">
        <f t="shared" si="116"/>
        <v>catc</v>
      </c>
    </row>
    <row r="318" spans="1:46" x14ac:dyDescent="0.25">
      <c r="A318">
        <v>307</v>
      </c>
      <c r="B318" t="str">
        <f>("289230")</f>
        <v>289230</v>
      </c>
      <c r="C318" t="str">
        <f>("W00002343")</f>
        <v>W00002343</v>
      </c>
      <c r="D318" t="str">
        <f>("One-to-one Web marketing : build a relationship marketing strategy one customer at a time / ")</f>
        <v xml:space="preserve">One-to-one Web marketing : build a relationship marketing strategy one customer at a time / </v>
      </c>
      <c r="E318" t="str">
        <f>("Allen, Cliff, 1948- ")</f>
        <v xml:space="preserve">Allen, Cliff, 1948- </v>
      </c>
      <c r="F318" t="str">
        <f>("Wiley, ")</f>
        <v xml:space="preserve">Wiley, </v>
      </c>
      <c r="G318" t="str">
        <f>("2nd ed. ")</f>
        <v xml:space="preserve">2nd ed. </v>
      </c>
      <c r="H318" t="str">
        <f t="shared" si="124"/>
        <v>圖書 book</v>
      </c>
      <c r="I318" t="str">
        <f>("HF5415.1265 A425 2001")</f>
        <v>HF5415.1265 A425 2001</v>
      </c>
      <c r="J318" t="str">
        <f>("0471404004")</f>
        <v>0471404004</v>
      </c>
      <c r="K318" t="str">
        <f>("1212")</f>
        <v>1212</v>
      </c>
      <c r="L318" t="str">
        <f t="shared" si="113"/>
        <v>2001/10/10 00:00:00</v>
      </c>
      <c r="M318" t="str">
        <f t="shared" si="138"/>
        <v>2018/08/11 13:34:14</v>
      </c>
      <c r="N318" t="str">
        <f>("2001")</f>
        <v>2001</v>
      </c>
      <c r="O318" t="str">
        <f t="shared" si="135"/>
        <v>4F西文書庫 4F Western Language Books</v>
      </c>
      <c r="P318" t="s">
        <v>64</v>
      </c>
      <c r="W318" t="str">
        <f t="shared" si="134"/>
        <v>美國國會圖書分類法</v>
      </c>
      <c r="Y318" t="str">
        <f>("HF5415.1265")</f>
        <v>HF5415.1265</v>
      </c>
      <c r="Z318" t="str">
        <f t="shared" ref="Z318:Z325" si="139">("2018/08/11 13:34:14")</f>
        <v>2018/08/11 13:34:14</v>
      </c>
      <c r="AA318" t="str">
        <f t="shared" si="114"/>
        <v>catc</v>
      </c>
      <c r="AC318" t="str">
        <f>("A425")</f>
        <v>A425</v>
      </c>
      <c r="AE318" t="str">
        <f t="shared" si="133"/>
        <v>c.1</v>
      </c>
      <c r="AF318" t="str">
        <f t="shared" si="136"/>
        <v>1.可借圖書</v>
      </c>
      <c r="AG318" t="str">
        <f t="shared" si="137"/>
        <v>在架</v>
      </c>
      <c r="AI318" t="s">
        <v>65</v>
      </c>
      <c r="AK318" t="str">
        <f t="shared" si="115"/>
        <v>一般(Normal)</v>
      </c>
      <c r="AO318" t="s">
        <v>65</v>
      </c>
      <c r="AS318" t="str">
        <f>("c2001. ")</f>
        <v xml:space="preserve">c2001. </v>
      </c>
      <c r="AT318" t="str">
        <f t="shared" si="116"/>
        <v>catc</v>
      </c>
    </row>
    <row r="319" spans="1:46" x14ac:dyDescent="0.25">
      <c r="A319">
        <v>308</v>
      </c>
      <c r="B319" t="str">
        <f>("289231")</f>
        <v>289231</v>
      </c>
      <c r="C319" t="str">
        <f>("W00002344")</f>
        <v>W00002344</v>
      </c>
      <c r="D319" t="str">
        <f>("Romancing the customer : maximizing brand value through powerful relationship management / ")</f>
        <v xml:space="preserve">Romancing the customer : maximizing brand value through powerful relationship management / </v>
      </c>
      <c r="E319" t="str">
        <f>("Temporal, Paul. ")</f>
        <v xml:space="preserve">Temporal, Paul. </v>
      </c>
      <c r="F319" t="str">
        <f>("Wiley, ")</f>
        <v xml:space="preserve">Wiley, </v>
      </c>
      <c r="H319" t="str">
        <f t="shared" si="124"/>
        <v>圖書 book</v>
      </c>
      <c r="I319" t="str">
        <f>("HF5415.55 T282 2001")</f>
        <v>HF5415.55 T282 2001</v>
      </c>
      <c r="J319" t="str">
        <f>("0471846155")</f>
        <v>0471846155</v>
      </c>
      <c r="K319" t="str">
        <f>("912")</f>
        <v>912</v>
      </c>
      <c r="L319" t="str">
        <f t="shared" si="113"/>
        <v>2001/10/10 00:00:00</v>
      </c>
      <c r="M319" t="str">
        <f t="shared" si="138"/>
        <v>2018/08/11 13:34:14</v>
      </c>
      <c r="N319" t="str">
        <f>("2001")</f>
        <v>2001</v>
      </c>
      <c r="O319" t="str">
        <f t="shared" si="135"/>
        <v>4F西文書庫 4F Western Language Books</v>
      </c>
      <c r="P319" t="s">
        <v>64</v>
      </c>
      <c r="W319" t="str">
        <f t="shared" si="134"/>
        <v>美國國會圖書分類法</v>
      </c>
      <c r="Y319" t="str">
        <f>("HF5415.55")</f>
        <v>HF5415.55</v>
      </c>
      <c r="Z319" t="str">
        <f t="shared" si="139"/>
        <v>2018/08/11 13:34:14</v>
      </c>
      <c r="AA319" t="str">
        <f t="shared" si="114"/>
        <v>catc</v>
      </c>
      <c r="AC319" t="str">
        <f>("T282")</f>
        <v>T282</v>
      </c>
      <c r="AE319" t="str">
        <f t="shared" si="133"/>
        <v>c.1</v>
      </c>
      <c r="AF319" t="str">
        <f t="shared" si="136"/>
        <v>1.可借圖書</v>
      </c>
      <c r="AG319" t="str">
        <f t="shared" si="137"/>
        <v>在架</v>
      </c>
      <c r="AI319" t="s">
        <v>65</v>
      </c>
      <c r="AK319" t="str">
        <f t="shared" si="115"/>
        <v>一般(Normal)</v>
      </c>
      <c r="AO319" t="s">
        <v>65</v>
      </c>
      <c r="AS319" t="str">
        <f>("c2001. ")</f>
        <v xml:space="preserve">c2001. </v>
      </c>
      <c r="AT319" t="str">
        <f t="shared" si="116"/>
        <v>catc</v>
      </c>
    </row>
    <row r="320" spans="1:46" x14ac:dyDescent="0.25">
      <c r="A320">
        <v>309</v>
      </c>
      <c r="B320" t="str">
        <f>("289232")</f>
        <v>289232</v>
      </c>
      <c r="C320" t="str">
        <f>("W00002345")</f>
        <v>W00002345</v>
      </c>
      <c r="D320" t="str">
        <f>("Case profiles in respiratory care /")</f>
        <v>Case profiles in respiratory care /</v>
      </c>
      <c r="E320" t="str">
        <f>("French, William A. ")</f>
        <v xml:space="preserve">French, William A. </v>
      </c>
      <c r="F320" t="str">
        <f>("Delmar,")</f>
        <v>Delmar,</v>
      </c>
      <c r="H320" t="str">
        <f t="shared" si="124"/>
        <v>圖書 book</v>
      </c>
      <c r="I320" t="str">
        <f>("RC735.I5 F874 1996")</f>
        <v>RC735.I5 F874 1996</v>
      </c>
      <c r="J320" t="str">
        <f>("0827366841")</f>
        <v>0827366841</v>
      </c>
      <c r="K320" t="str">
        <f>("1000")</f>
        <v>1000</v>
      </c>
      <c r="L320" t="str">
        <f t="shared" si="113"/>
        <v>2001/10/10 00:00:00</v>
      </c>
      <c r="M320" t="str">
        <f t="shared" si="138"/>
        <v>2018/08/11 13:34:14</v>
      </c>
      <c r="N320" t="str">
        <f>("1996")</f>
        <v>1996</v>
      </c>
      <c r="O320" t="str">
        <f t="shared" si="135"/>
        <v>4F西文書庫 4F Western Language Books</v>
      </c>
      <c r="P320" t="s">
        <v>64</v>
      </c>
      <c r="W320" t="str">
        <f t="shared" si="134"/>
        <v>美國國會圖書分類法</v>
      </c>
      <c r="Y320" t="str">
        <f>("RC735.I5")</f>
        <v>RC735.I5</v>
      </c>
      <c r="Z320" t="str">
        <f t="shared" si="139"/>
        <v>2018/08/11 13:34:14</v>
      </c>
      <c r="AA320" t="str">
        <f t="shared" si="114"/>
        <v>catc</v>
      </c>
      <c r="AC320" t="str">
        <f>("F874")</f>
        <v>F874</v>
      </c>
      <c r="AE320" t="str">
        <f t="shared" si="133"/>
        <v>c.1</v>
      </c>
      <c r="AF320" t="str">
        <f t="shared" si="136"/>
        <v>1.可借圖書</v>
      </c>
      <c r="AG320" t="str">
        <f t="shared" si="137"/>
        <v>在架</v>
      </c>
      <c r="AI320" t="s">
        <v>65</v>
      </c>
      <c r="AK320" t="str">
        <f t="shared" si="115"/>
        <v>一般(Normal)</v>
      </c>
      <c r="AO320" t="s">
        <v>65</v>
      </c>
      <c r="AS320" t="str">
        <f>("c1996. ")</f>
        <v xml:space="preserve">c1996. </v>
      </c>
      <c r="AT320" t="str">
        <f t="shared" si="116"/>
        <v>catc</v>
      </c>
    </row>
    <row r="321" spans="1:46" x14ac:dyDescent="0.25">
      <c r="A321">
        <v>310</v>
      </c>
      <c r="B321" t="str">
        <f>("289233")</f>
        <v>289233</v>
      </c>
      <c r="C321" t="str">
        <f>("W00002346")</f>
        <v>W00002346</v>
      </c>
      <c r="D321" t="str">
        <f>("The seven deadly skills of communicating / ")</f>
        <v xml:space="preserve">The seven deadly skills of communicating / </v>
      </c>
      <c r="E321" t="str">
        <f>("Jay, Ros. ")</f>
        <v xml:space="preserve">Jay, Ros. </v>
      </c>
      <c r="F321" t="str">
        <f>("International Thomson Business Press, ")</f>
        <v xml:space="preserve">International Thomson Business Press, </v>
      </c>
      <c r="G321" t="str">
        <f>("1st ed. ")</f>
        <v xml:space="preserve">1st ed. </v>
      </c>
      <c r="H321" t="str">
        <f t="shared" si="124"/>
        <v>圖書 book</v>
      </c>
      <c r="I321" t="str">
        <f>("HF5718 J42 1999")</f>
        <v>HF5718 J42 1999</v>
      </c>
      <c r="J321" t="str">
        <f>("1861523734")</f>
        <v>1861523734</v>
      </c>
      <c r="K321" t="str">
        <f>("836")</f>
        <v>836</v>
      </c>
      <c r="L321" t="str">
        <f t="shared" si="113"/>
        <v>2001/10/10 00:00:00</v>
      </c>
      <c r="M321" t="str">
        <f t="shared" si="138"/>
        <v>2018/08/11 13:34:14</v>
      </c>
      <c r="N321" t="str">
        <f>("1999")</f>
        <v>1999</v>
      </c>
      <c r="O321" t="str">
        <f t="shared" si="135"/>
        <v>4F西文書庫 4F Western Language Books</v>
      </c>
      <c r="P321" t="s">
        <v>64</v>
      </c>
      <c r="W321" t="str">
        <f t="shared" si="134"/>
        <v>美國國會圖書分類法</v>
      </c>
      <c r="Y321" t="str">
        <f>("HF5718")</f>
        <v>HF5718</v>
      </c>
      <c r="Z321" t="str">
        <f t="shared" si="139"/>
        <v>2018/08/11 13:34:14</v>
      </c>
      <c r="AA321" t="str">
        <f t="shared" si="114"/>
        <v>catc</v>
      </c>
      <c r="AC321" t="str">
        <f>("J42")</f>
        <v>J42</v>
      </c>
      <c r="AE321" t="str">
        <f t="shared" si="133"/>
        <v>c.1</v>
      </c>
      <c r="AF321" t="str">
        <f t="shared" si="136"/>
        <v>1.可借圖書</v>
      </c>
      <c r="AG321" t="str">
        <f t="shared" si="137"/>
        <v>在架</v>
      </c>
      <c r="AI321" t="s">
        <v>65</v>
      </c>
      <c r="AK321" t="str">
        <f t="shared" si="115"/>
        <v>一般(Normal)</v>
      </c>
      <c r="AO321" t="s">
        <v>65</v>
      </c>
      <c r="AS321" t="str">
        <f>("c1999. ")</f>
        <v xml:space="preserve">c1999. </v>
      </c>
      <c r="AT321" t="str">
        <f t="shared" si="116"/>
        <v>catc</v>
      </c>
    </row>
    <row r="322" spans="1:46" x14ac:dyDescent="0.25">
      <c r="A322">
        <v>311</v>
      </c>
      <c r="B322" t="str">
        <f>("289234")</f>
        <v>289234</v>
      </c>
      <c r="C322" t="str">
        <f>("W00002347")</f>
        <v>W00002347</v>
      </c>
      <c r="D322" t="str">
        <f>("Research methods for generalist social work /")</f>
        <v>Research methods for generalist social work /</v>
      </c>
      <c r="E322" t="str">
        <f>("Marlow, Christine. ")</f>
        <v xml:space="preserve">Marlow, Christine. </v>
      </c>
      <c r="F322" t="str">
        <f>("Brooks/Cole Publishing,")</f>
        <v>Brooks/Cole Publishing,</v>
      </c>
      <c r="G322" t="str">
        <f>("2nd ed. ")</f>
        <v xml:space="preserve">2nd ed. </v>
      </c>
      <c r="H322" t="str">
        <f t="shared" si="124"/>
        <v>圖書 book</v>
      </c>
      <c r="I322" t="str">
        <f>("HV11 M349 1998")</f>
        <v>HV11 M349 1998</v>
      </c>
      <c r="J322" t="str">
        <f>("0534349536")</f>
        <v>0534349536</v>
      </c>
      <c r="K322" t="str">
        <f>("1472")</f>
        <v>1472</v>
      </c>
      <c r="L322" t="str">
        <f t="shared" si="113"/>
        <v>2001/10/10 00:00:00</v>
      </c>
      <c r="M322" t="str">
        <f t="shared" si="138"/>
        <v>2018/08/11 13:34:14</v>
      </c>
      <c r="N322" t="str">
        <f>("1998")</f>
        <v>1998</v>
      </c>
      <c r="O322" t="str">
        <f t="shared" si="135"/>
        <v>4F西文書庫 4F Western Language Books</v>
      </c>
      <c r="P322" t="s">
        <v>64</v>
      </c>
      <c r="W322" t="str">
        <f t="shared" si="134"/>
        <v>美國國會圖書分類法</v>
      </c>
      <c r="Y322" t="str">
        <f>("HV11")</f>
        <v>HV11</v>
      </c>
      <c r="Z322" t="str">
        <f t="shared" si="139"/>
        <v>2018/08/11 13:34:14</v>
      </c>
      <c r="AA322" t="str">
        <f t="shared" si="114"/>
        <v>catc</v>
      </c>
      <c r="AC322" t="str">
        <f>("M349")</f>
        <v>M349</v>
      </c>
      <c r="AE322" t="str">
        <f t="shared" si="133"/>
        <v>c.1</v>
      </c>
      <c r="AF322" t="str">
        <f t="shared" si="136"/>
        <v>1.可借圖書</v>
      </c>
      <c r="AG322" t="str">
        <f t="shared" si="137"/>
        <v>在架</v>
      </c>
      <c r="AI322" t="s">
        <v>65</v>
      </c>
      <c r="AK322" t="str">
        <f t="shared" si="115"/>
        <v>一般(Normal)</v>
      </c>
      <c r="AO322" t="s">
        <v>65</v>
      </c>
      <c r="AS322" t="str">
        <f>("c1998. ")</f>
        <v xml:space="preserve">c1998. </v>
      </c>
      <c r="AT322" t="str">
        <f t="shared" si="116"/>
        <v>catc</v>
      </c>
    </row>
    <row r="323" spans="1:46" x14ac:dyDescent="0.25">
      <c r="A323">
        <v>312</v>
      </c>
      <c r="B323" t="str">
        <f>("289235")</f>
        <v>289235</v>
      </c>
      <c r="C323" t="str">
        <f>("W00002348")</f>
        <v>W00002348</v>
      </c>
      <c r="D323" t="str">
        <f>("Social studies :applications for a new century /")</f>
        <v>Social studies :applications for a new century /</v>
      </c>
      <c r="E323" t="str">
        <f>("Pate, Sarah S. ")</f>
        <v xml:space="preserve">Pate, Sarah S. </v>
      </c>
      <c r="F323" t="str">
        <f>("Delmar Publishers,")</f>
        <v>Delmar Publishers,</v>
      </c>
      <c r="H323" t="str">
        <f t="shared" si="124"/>
        <v>圖書 book</v>
      </c>
      <c r="I323" t="str">
        <f>("LB1584 P295 1996")</f>
        <v>LB1584 P295 1996</v>
      </c>
      <c r="J323" t="str">
        <f>("082736637X")</f>
        <v>082736637X</v>
      </c>
      <c r="K323" t="str">
        <f>("972")</f>
        <v>972</v>
      </c>
      <c r="L323" t="str">
        <f t="shared" si="113"/>
        <v>2001/10/10 00:00:00</v>
      </c>
      <c r="M323" t="str">
        <f t="shared" si="138"/>
        <v>2018/08/11 13:34:14</v>
      </c>
      <c r="N323" t="str">
        <f>("1996")</f>
        <v>1996</v>
      </c>
      <c r="O323" t="str">
        <f t="shared" si="135"/>
        <v>4F西文書庫 4F Western Language Books</v>
      </c>
      <c r="P323" t="s">
        <v>64</v>
      </c>
      <c r="W323" t="str">
        <f t="shared" si="134"/>
        <v>美國國會圖書分類法</v>
      </c>
      <c r="Y323" t="str">
        <f>("LB1584")</f>
        <v>LB1584</v>
      </c>
      <c r="Z323" t="str">
        <f t="shared" si="139"/>
        <v>2018/08/11 13:34:14</v>
      </c>
      <c r="AA323" t="str">
        <f t="shared" si="114"/>
        <v>catc</v>
      </c>
      <c r="AC323" t="str">
        <f>("P295")</f>
        <v>P295</v>
      </c>
      <c r="AE323" t="str">
        <f t="shared" si="133"/>
        <v>c.1</v>
      </c>
      <c r="AF323" t="str">
        <f t="shared" si="136"/>
        <v>1.可借圖書</v>
      </c>
      <c r="AG323" t="str">
        <f t="shared" si="137"/>
        <v>在架</v>
      </c>
      <c r="AI323" t="s">
        <v>65</v>
      </c>
      <c r="AK323" t="str">
        <f t="shared" si="115"/>
        <v>一般(Normal)</v>
      </c>
      <c r="AO323" t="s">
        <v>65</v>
      </c>
      <c r="AS323" t="str">
        <f>("c1996. ")</f>
        <v xml:space="preserve">c1996. </v>
      </c>
      <c r="AT323" t="str">
        <f t="shared" si="116"/>
        <v>catc</v>
      </c>
    </row>
    <row r="324" spans="1:46" x14ac:dyDescent="0.25">
      <c r="A324">
        <v>313</v>
      </c>
      <c r="B324" t="str">
        <f>("289208")</f>
        <v>289208</v>
      </c>
      <c r="C324" t="str">
        <f>("W00002349")</f>
        <v>W00002349</v>
      </c>
      <c r="D324" t="str">
        <f>("Seeing tomorrow :rewriting the rules of risk /")</f>
        <v>Seeing tomorrow :rewriting the rules of risk /</v>
      </c>
      <c r="E324" t="str">
        <f>("Dembo, R. S.")</f>
        <v>Dembo, R. S.</v>
      </c>
      <c r="F324" t="str">
        <f>("J. Wiley &amp; Sons,")</f>
        <v>J. Wiley &amp; Sons,</v>
      </c>
      <c r="H324" t="str">
        <f t="shared" si="124"/>
        <v>圖書 book</v>
      </c>
      <c r="I324" t="str">
        <f>("HG4521 D375 1998")</f>
        <v>HG4521 D375 1998</v>
      </c>
      <c r="J324" t="str">
        <f>("0471401633")</f>
        <v>0471401633</v>
      </c>
      <c r="K324" t="str">
        <f>("576")</f>
        <v>576</v>
      </c>
      <c r="L324" t="str">
        <f t="shared" si="113"/>
        <v>2001/10/10 00:00:00</v>
      </c>
      <c r="M324" t="str">
        <f t="shared" si="138"/>
        <v>2018/08/11 13:34:14</v>
      </c>
      <c r="N324" t="str">
        <f>("1998")</f>
        <v>1998</v>
      </c>
      <c r="O324" t="str">
        <f t="shared" si="135"/>
        <v>4F西文書庫 4F Western Language Books</v>
      </c>
      <c r="P324" t="s">
        <v>64</v>
      </c>
      <c r="W324" t="str">
        <f t="shared" si="134"/>
        <v>美國國會圖書分類法</v>
      </c>
      <c r="Y324" t="str">
        <f>("HG4521")</f>
        <v>HG4521</v>
      </c>
      <c r="Z324" t="str">
        <f t="shared" si="139"/>
        <v>2018/08/11 13:34:14</v>
      </c>
      <c r="AA324" t="str">
        <f t="shared" si="114"/>
        <v>catc</v>
      </c>
      <c r="AC324" t="str">
        <f>("D375")</f>
        <v>D375</v>
      </c>
      <c r="AE324" t="str">
        <f t="shared" si="133"/>
        <v>c.1</v>
      </c>
      <c r="AF324" t="str">
        <f t="shared" si="136"/>
        <v>1.可借圖書</v>
      </c>
      <c r="AG324" t="str">
        <f t="shared" si="137"/>
        <v>在架</v>
      </c>
      <c r="AI324" t="s">
        <v>65</v>
      </c>
      <c r="AK324" t="str">
        <f t="shared" si="115"/>
        <v>一般(Normal)</v>
      </c>
      <c r="AO324" t="s">
        <v>65</v>
      </c>
      <c r="AS324" t="str">
        <f>("c1998 ")</f>
        <v xml:space="preserve">c1998 </v>
      </c>
      <c r="AT324" t="str">
        <f t="shared" si="116"/>
        <v>catc</v>
      </c>
    </row>
    <row r="325" spans="1:46" x14ac:dyDescent="0.25">
      <c r="A325">
        <v>314</v>
      </c>
      <c r="B325" t="str">
        <f>("289209")</f>
        <v>289209</v>
      </c>
      <c r="C325" t="str">
        <f>("W00002350")</f>
        <v>W00002350</v>
      </c>
      <c r="D325" t="str">
        <f>("Power of performance management : how leading companies create sustained value / ")</f>
        <v xml:space="preserve">Power of performance management : how leading companies create sustained value / </v>
      </c>
      <c r="E325" t="str">
        <f>("De Waal, Andre ")</f>
        <v xml:space="preserve">De Waal, Andre </v>
      </c>
      <c r="F325" t="str">
        <f>("Wiley, ")</f>
        <v xml:space="preserve">Wiley, </v>
      </c>
      <c r="H325" t="str">
        <f t="shared" si="124"/>
        <v>圖書 book</v>
      </c>
      <c r="I325" t="str">
        <f>("HG4028.V3 D515 2001")</f>
        <v>HG4028.V3 D515 2001</v>
      </c>
      <c r="J325" t="str">
        <f>("0471383473")</f>
        <v>0471383473</v>
      </c>
      <c r="K325" t="str">
        <f>("1498")</f>
        <v>1498</v>
      </c>
      <c r="L325" t="str">
        <f t="shared" si="113"/>
        <v>2001/10/10 00:00:00</v>
      </c>
      <c r="M325" t="str">
        <f t="shared" si="138"/>
        <v>2018/08/11 13:34:14</v>
      </c>
      <c r="N325" t="str">
        <f>("2001")</f>
        <v>2001</v>
      </c>
      <c r="O325" t="str">
        <f t="shared" si="135"/>
        <v>4F西文書庫 4F Western Language Books</v>
      </c>
      <c r="P325" t="s">
        <v>64</v>
      </c>
      <c r="W325" t="str">
        <f t="shared" si="134"/>
        <v>美國國會圖書分類法</v>
      </c>
      <c r="Y325" t="str">
        <f>("HG4028.V3")</f>
        <v>HG4028.V3</v>
      </c>
      <c r="Z325" t="str">
        <f t="shared" si="139"/>
        <v>2018/08/11 13:34:14</v>
      </c>
      <c r="AA325" t="str">
        <f t="shared" si="114"/>
        <v>catc</v>
      </c>
      <c r="AC325" t="str">
        <f>("D515")</f>
        <v>D515</v>
      </c>
      <c r="AE325" t="str">
        <f t="shared" si="133"/>
        <v>c.1</v>
      </c>
      <c r="AF325" t="str">
        <f t="shared" si="136"/>
        <v>1.可借圖書</v>
      </c>
      <c r="AG325" t="str">
        <f t="shared" si="137"/>
        <v>在架</v>
      </c>
      <c r="AI325" t="s">
        <v>65</v>
      </c>
      <c r="AK325" t="str">
        <f t="shared" si="115"/>
        <v>一般(Normal)</v>
      </c>
      <c r="AO325" t="s">
        <v>65</v>
      </c>
      <c r="AS325" t="str">
        <f>("2001. ")</f>
        <v xml:space="preserve">2001. </v>
      </c>
      <c r="AT325" t="str">
        <f t="shared" si="116"/>
        <v>catc</v>
      </c>
    </row>
    <row r="326" spans="1:46" x14ac:dyDescent="0.25">
      <c r="A326">
        <v>315</v>
      </c>
      <c r="B326" t="str">
        <f>("288274")</f>
        <v>288274</v>
      </c>
      <c r="C326" t="str">
        <f>("W00002351")</f>
        <v>W00002351</v>
      </c>
      <c r="D326" t="str">
        <f>("Getting started in online investing / ")</f>
        <v xml:space="preserve">Getting started in online investing / </v>
      </c>
      <c r="E326" t="str">
        <f>("Brown, David L., 1940- ")</f>
        <v xml:space="preserve">Brown, David L., 1940- </v>
      </c>
      <c r="F326" t="str">
        <f>("J. Wiley, ")</f>
        <v xml:space="preserve">J. Wiley, </v>
      </c>
      <c r="H326" t="str">
        <f t="shared" si="124"/>
        <v>圖書 book</v>
      </c>
      <c r="I326" t="str">
        <f>("HG4515.95 B882 1999")</f>
        <v>HG4515.95 B882 1999</v>
      </c>
      <c r="J326" t="str">
        <f>("0471317039")</f>
        <v>0471317039</v>
      </c>
      <c r="K326" t="str">
        <f>("560")</f>
        <v>560</v>
      </c>
      <c r="L326" t="str">
        <f t="shared" si="113"/>
        <v>2001/10/10 00:00:00</v>
      </c>
      <c r="M326" t="str">
        <f>("2018/08/11 13:32:41")</f>
        <v>2018/08/11 13:32:41</v>
      </c>
      <c r="N326" t="str">
        <f>("1999")</f>
        <v>1999</v>
      </c>
      <c r="O326" t="str">
        <f t="shared" si="135"/>
        <v>4F西文書庫 4F Western Language Books</v>
      </c>
      <c r="P326" t="s">
        <v>64</v>
      </c>
      <c r="S326" t="str">
        <f>("xi, 258 p. : ")</f>
        <v xml:space="preserve">xi, 258 p. : </v>
      </c>
      <c r="T326" t="str">
        <f>("ill. ; ")</f>
        <v xml:space="preserve">ill. ; </v>
      </c>
      <c r="U326" t="str">
        <f>("24 cm. ")</f>
        <v xml:space="preserve">24 cm. </v>
      </c>
      <c r="W326" t="str">
        <f t="shared" si="134"/>
        <v>美國國會圖書分類法</v>
      </c>
      <c r="Y326" t="str">
        <f>("HG4515.95")</f>
        <v>HG4515.95</v>
      </c>
      <c r="Z326" t="str">
        <f>("2018/08/11 13:32:41")</f>
        <v>2018/08/11 13:32:41</v>
      </c>
      <c r="AA326" t="str">
        <f t="shared" si="114"/>
        <v>catc</v>
      </c>
      <c r="AC326" t="str">
        <f>("B882")</f>
        <v>B882</v>
      </c>
      <c r="AE326" t="str">
        <f t="shared" si="133"/>
        <v>c.1</v>
      </c>
      <c r="AF326" t="str">
        <f t="shared" si="136"/>
        <v>1.可借圖書</v>
      </c>
      <c r="AG326" t="str">
        <f t="shared" si="137"/>
        <v>在架</v>
      </c>
      <c r="AI326" t="s">
        <v>65</v>
      </c>
      <c r="AK326" t="str">
        <f t="shared" si="115"/>
        <v>一般(Normal)</v>
      </c>
      <c r="AO326" t="s">
        <v>65</v>
      </c>
      <c r="AS326" t="str">
        <f>("1999. ")</f>
        <v xml:space="preserve">1999. </v>
      </c>
      <c r="AT326" t="str">
        <f t="shared" si="116"/>
        <v>catc</v>
      </c>
    </row>
    <row r="327" spans="1:46" x14ac:dyDescent="0.25">
      <c r="A327">
        <v>316</v>
      </c>
      <c r="B327" t="str">
        <f>("289210")</f>
        <v>289210</v>
      </c>
      <c r="C327" t="str">
        <f>("W00002352")</f>
        <v>W00002352</v>
      </c>
      <c r="D327" t="str">
        <f>("Social and political philosophy : classical Western texts in feminist and multicultural perspectives / ")</f>
        <v xml:space="preserve">Social and political philosophy : classical Western texts in feminist and multicultural perspectives / </v>
      </c>
      <c r="E327" t="str">
        <f>("Sterba, James P. ")</f>
        <v xml:space="preserve">Sterba, James P. </v>
      </c>
      <c r="F327" t="str">
        <f>("Wadsworth Pub., ")</f>
        <v xml:space="preserve">Wadsworth Pub., </v>
      </c>
      <c r="G327" t="str">
        <f>("2nd ed. ")</f>
        <v xml:space="preserve">2nd ed. </v>
      </c>
      <c r="H327" t="str">
        <f t="shared" si="124"/>
        <v>圖書 book</v>
      </c>
      <c r="I327" t="str">
        <f>("HM216 S838 1998")</f>
        <v>HM216 S838 1998</v>
      </c>
      <c r="J327" t="str">
        <f>("0534527442")</f>
        <v>0534527442</v>
      </c>
      <c r="K327" t="str">
        <f>("1408")</f>
        <v>1408</v>
      </c>
      <c r="L327" t="str">
        <f t="shared" si="113"/>
        <v>2001/10/10 00:00:00</v>
      </c>
      <c r="M327" t="str">
        <f>("2018/08/11 13:34:14")</f>
        <v>2018/08/11 13:34:14</v>
      </c>
      <c r="N327" t="str">
        <f>("1998")</f>
        <v>1998</v>
      </c>
      <c r="O327" t="str">
        <f t="shared" si="135"/>
        <v>4F西文書庫 4F Western Language Books</v>
      </c>
      <c r="P327" t="s">
        <v>64</v>
      </c>
      <c r="W327" t="str">
        <f t="shared" si="134"/>
        <v>美國國會圖書分類法</v>
      </c>
      <c r="Y327" t="str">
        <f>("HM216")</f>
        <v>HM216</v>
      </c>
      <c r="Z327" t="str">
        <f>("2018/08/11 13:34:14")</f>
        <v>2018/08/11 13:34:14</v>
      </c>
      <c r="AA327" t="str">
        <f t="shared" si="114"/>
        <v>catc</v>
      </c>
      <c r="AC327" t="str">
        <f>("S838")</f>
        <v>S838</v>
      </c>
      <c r="AE327" t="str">
        <f t="shared" si="133"/>
        <v>c.1</v>
      </c>
      <c r="AF327" t="str">
        <f t="shared" si="136"/>
        <v>1.可借圖書</v>
      </c>
      <c r="AG327" t="str">
        <f t="shared" si="137"/>
        <v>在架</v>
      </c>
      <c r="AI327" t="s">
        <v>65</v>
      </c>
      <c r="AK327" t="str">
        <f t="shared" si="115"/>
        <v>一般(Normal)</v>
      </c>
      <c r="AO327" t="s">
        <v>65</v>
      </c>
      <c r="AS327" t="str">
        <f>("c1998. ")</f>
        <v xml:space="preserve">c1998. </v>
      </c>
      <c r="AT327" t="str">
        <f t="shared" si="116"/>
        <v>catc</v>
      </c>
    </row>
    <row r="328" spans="1:46" x14ac:dyDescent="0.25">
      <c r="A328">
        <v>317</v>
      </c>
      <c r="B328" t="str">
        <f>("289211")</f>
        <v>289211</v>
      </c>
      <c r="C328" t="str">
        <f>("W00002353")</f>
        <v>W00002353</v>
      </c>
      <c r="D328" t="str">
        <f>("Wharton on making decisions : editors Stephen J. Hoch and Howard G. Kunreuther with Robert E. Gunther. ")</f>
        <v xml:space="preserve">Wharton on making decisions : editors Stephen J. Hoch and Howard G. Kunreuther with Robert E. Gunther. </v>
      </c>
      <c r="E328" t="str">
        <f>("Hoch, Stephen J. 1952- ;Kunreuther, Howard. ;Gunther, Robert E., 1960- ")</f>
        <v xml:space="preserve">Hoch, Stephen J. 1952- ;Kunreuther, Howard. ;Gunther, Robert E., 1960- </v>
      </c>
      <c r="F328" t="str">
        <f>("Wiley, ")</f>
        <v xml:space="preserve">Wiley, </v>
      </c>
      <c r="H328" t="str">
        <f t="shared" si="124"/>
        <v>圖書 book</v>
      </c>
      <c r="I328" t="str">
        <f>("HD30.23 W554 2001")</f>
        <v>HD30.23 W554 2001</v>
      </c>
      <c r="J328" t="str">
        <f>("0471382477")</f>
        <v>0471382477</v>
      </c>
      <c r="K328" t="str">
        <f>("908")</f>
        <v>908</v>
      </c>
      <c r="L328" t="str">
        <f t="shared" si="113"/>
        <v>2001/10/10 00:00:00</v>
      </c>
      <c r="M328" t="str">
        <f>("2018/08/11 13:34:14")</f>
        <v>2018/08/11 13:34:14</v>
      </c>
      <c r="N328" t="str">
        <f>("2001")</f>
        <v>2001</v>
      </c>
      <c r="O328" t="str">
        <f t="shared" si="135"/>
        <v>4F西文書庫 4F Western Language Books</v>
      </c>
      <c r="P328" t="s">
        <v>64</v>
      </c>
      <c r="W328" t="str">
        <f t="shared" si="134"/>
        <v>美國國會圖書分類法</v>
      </c>
      <c r="Y328" t="str">
        <f>("HD30.23")</f>
        <v>HD30.23</v>
      </c>
      <c r="Z328" t="str">
        <f>("2018/08/11 13:34:14")</f>
        <v>2018/08/11 13:34:14</v>
      </c>
      <c r="AA328" t="str">
        <f t="shared" si="114"/>
        <v>catc</v>
      </c>
      <c r="AC328" t="str">
        <f>("W554")</f>
        <v>W554</v>
      </c>
      <c r="AE328" t="str">
        <f t="shared" si="133"/>
        <v>c.1</v>
      </c>
      <c r="AF328" t="str">
        <f t="shared" si="136"/>
        <v>1.可借圖書</v>
      </c>
      <c r="AG328" t="str">
        <f t="shared" si="137"/>
        <v>在架</v>
      </c>
      <c r="AI328" t="s">
        <v>65</v>
      </c>
      <c r="AK328" t="str">
        <f t="shared" si="115"/>
        <v>一般(Normal)</v>
      </c>
      <c r="AO328" t="s">
        <v>65</v>
      </c>
      <c r="AS328" t="str">
        <f>("c2001. ")</f>
        <v xml:space="preserve">c2001. </v>
      </c>
      <c r="AT328" t="str">
        <f t="shared" si="116"/>
        <v>catc</v>
      </c>
    </row>
    <row r="329" spans="1:46" x14ac:dyDescent="0.25">
      <c r="A329">
        <v>318</v>
      </c>
      <c r="B329" t="str">
        <f>("289212")</f>
        <v>289212</v>
      </c>
      <c r="C329" t="str">
        <f>("W00002354")</f>
        <v>W00002354</v>
      </c>
      <c r="D329" t="str">
        <f>("The importance of being Earnest / ")</f>
        <v xml:space="preserve">The importance of being Earnest / </v>
      </c>
      <c r="E329" t="str">
        <f>("Wilde, Oscar, 1854-1900. ")</f>
        <v xml:space="preserve">Wilde, Oscar, 1854-1900. </v>
      </c>
      <c r="F329" t="str">
        <f>("Cambridge University Press, ")</f>
        <v xml:space="preserve">Cambridge University Press, </v>
      </c>
      <c r="H329" t="str">
        <f t="shared" si="124"/>
        <v>圖書 book</v>
      </c>
      <c r="I329" t="str">
        <f>("PR5818 W671 1890")</f>
        <v>PR5818 W671 1890</v>
      </c>
      <c r="J329" t="str">
        <f>("0521639522")</f>
        <v>0521639522</v>
      </c>
      <c r="K329" t="str">
        <f>("200")</f>
        <v>200</v>
      </c>
      <c r="L329" t="str">
        <f t="shared" si="113"/>
        <v>2001/10/10 00:00:00</v>
      </c>
      <c r="M329" t="str">
        <f>("2018/08/11 13:34:14")</f>
        <v>2018/08/11 13:34:14</v>
      </c>
      <c r="N329" t="str">
        <f>("1890")</f>
        <v>1890</v>
      </c>
      <c r="O329" t="str">
        <f t="shared" si="135"/>
        <v>4F西文書庫 4F Western Language Books</v>
      </c>
      <c r="P329" t="s">
        <v>64</v>
      </c>
      <c r="W329" t="str">
        <f t="shared" si="134"/>
        <v>美國國會圖書分類法</v>
      </c>
      <c r="Y329" t="str">
        <f>("PR5818")</f>
        <v>PR5818</v>
      </c>
      <c r="Z329" t="str">
        <f>("2018/08/11 13:34:14")</f>
        <v>2018/08/11 13:34:14</v>
      </c>
      <c r="AA329" t="str">
        <f t="shared" si="114"/>
        <v>catc</v>
      </c>
      <c r="AC329" t="str">
        <f>("W671")</f>
        <v>W671</v>
      </c>
      <c r="AE329" t="str">
        <f t="shared" si="133"/>
        <v>c.1</v>
      </c>
      <c r="AF329" t="str">
        <f t="shared" si="136"/>
        <v>1.可借圖書</v>
      </c>
      <c r="AG329" t="str">
        <f>("報銷中")</f>
        <v>報銷中</v>
      </c>
      <c r="AI329" t="s">
        <v>66</v>
      </c>
      <c r="AK329" t="str">
        <f t="shared" si="115"/>
        <v>一般(Normal)</v>
      </c>
      <c r="AO329" t="s">
        <v>65</v>
      </c>
      <c r="AS329" t="str">
        <f>("1999. ")</f>
        <v xml:space="preserve">1999. </v>
      </c>
      <c r="AT329" t="str">
        <f t="shared" si="116"/>
        <v>catc</v>
      </c>
    </row>
    <row r="330" spans="1:46" x14ac:dyDescent="0.25">
      <c r="A330">
        <v>319</v>
      </c>
      <c r="B330" t="str">
        <f>("288221")</f>
        <v>288221</v>
      </c>
      <c r="C330" t="str">
        <f>("W00002355")</f>
        <v>W00002355</v>
      </c>
      <c r="D330" t="str">
        <f>("Stock investing for everyone : tools for investing like the pros / ")</f>
        <v xml:space="preserve">Stock investing for everyone : tools for investing like the pros / </v>
      </c>
      <c r="E330" t="str">
        <f>("Khan, Arshad. ")</f>
        <v xml:space="preserve">Khan, Arshad. </v>
      </c>
      <c r="F330" t="str">
        <f>("Wiley, ")</f>
        <v xml:space="preserve">Wiley, </v>
      </c>
      <c r="H330" t="str">
        <f t="shared" si="124"/>
        <v>圖書 book</v>
      </c>
      <c r="I330" t="str">
        <f>("HG4661 K45 1999")</f>
        <v>HG4661 K45 1999</v>
      </c>
      <c r="J330" t="str">
        <f>("0471357316")</f>
        <v>0471357316</v>
      </c>
      <c r="K330" t="str">
        <f>("760")</f>
        <v>760</v>
      </c>
      <c r="L330" t="str">
        <f t="shared" si="113"/>
        <v>2001/10/10 00:00:00</v>
      </c>
      <c r="M330" t="str">
        <f>("2018/08/11 13:32:35")</f>
        <v>2018/08/11 13:32:35</v>
      </c>
      <c r="N330" t="str">
        <f>("1999")</f>
        <v>1999</v>
      </c>
      <c r="O330" t="str">
        <f t="shared" si="135"/>
        <v>4F西文書庫 4F Western Language Books</v>
      </c>
      <c r="P330" t="s">
        <v>64</v>
      </c>
      <c r="S330" t="str">
        <f>("xiv, 400 p. : ")</f>
        <v xml:space="preserve">xiv, 400 p. : </v>
      </c>
      <c r="T330" t="str">
        <f>("ill. ; ")</f>
        <v xml:space="preserve">ill. ; </v>
      </c>
      <c r="U330" t="str">
        <f>("24 cm. ")</f>
        <v xml:space="preserve">24 cm. </v>
      </c>
      <c r="W330" t="str">
        <f t="shared" si="134"/>
        <v>美國國會圖書分類法</v>
      </c>
      <c r="Y330" t="str">
        <f>("HG4661")</f>
        <v>HG4661</v>
      </c>
      <c r="Z330" t="str">
        <f>("2018/08/11 13:32:34")</f>
        <v>2018/08/11 13:32:34</v>
      </c>
      <c r="AA330" t="str">
        <f t="shared" si="114"/>
        <v>catc</v>
      </c>
      <c r="AC330" t="str">
        <f>("K45")</f>
        <v>K45</v>
      </c>
      <c r="AE330" t="str">
        <f t="shared" si="133"/>
        <v>c.1</v>
      </c>
      <c r="AF330" t="str">
        <f t="shared" si="136"/>
        <v>1.可借圖書</v>
      </c>
      <c r="AG330" t="str">
        <f t="shared" ref="AG330:AG352" si="140">("在架")</f>
        <v>在架</v>
      </c>
      <c r="AI330" t="s">
        <v>65</v>
      </c>
      <c r="AK330" t="str">
        <f t="shared" si="115"/>
        <v>一般(Normal)</v>
      </c>
      <c r="AO330" t="s">
        <v>65</v>
      </c>
      <c r="AS330" t="str">
        <f>("c1999. ")</f>
        <v xml:space="preserve">c1999. </v>
      </c>
      <c r="AT330" t="str">
        <f t="shared" si="116"/>
        <v>catc</v>
      </c>
    </row>
    <row r="331" spans="1:46" x14ac:dyDescent="0.25">
      <c r="A331">
        <v>320</v>
      </c>
      <c r="B331" t="str">
        <f>("289213")</f>
        <v>289213</v>
      </c>
      <c r="C331" t="str">
        <f>("W00002356")</f>
        <v>W00002356</v>
      </c>
      <c r="D331" t="str">
        <f>("Management and cost accounting /")</f>
        <v>Management and cost accounting /</v>
      </c>
      <c r="E331" t="str">
        <f>("Drury, Colin ")</f>
        <v xml:space="preserve">Drury, Colin </v>
      </c>
      <c r="F331" t="str">
        <f>("International Thomson Business Press,")</f>
        <v>International Thomson Business Press,</v>
      </c>
      <c r="G331" t="str">
        <f>("4th ed ")</f>
        <v xml:space="preserve">4th ed </v>
      </c>
      <c r="H331" t="str">
        <f t="shared" si="124"/>
        <v>圖書 book</v>
      </c>
      <c r="I331" t="str">
        <f>("HF5657.4 D796 2000")</f>
        <v>HF5657.4 D796 2000</v>
      </c>
      <c r="J331" t="str">
        <f>("1861525362")</f>
        <v>1861525362</v>
      </c>
      <c r="K331" t="str">
        <f>("1244")</f>
        <v>1244</v>
      </c>
      <c r="L331" t="str">
        <f t="shared" si="113"/>
        <v>2001/10/10 00:00:00</v>
      </c>
      <c r="M331" t="str">
        <f t="shared" ref="M331:M341" si="141">("2018/08/11 13:34:15")</f>
        <v>2018/08/11 13:34:15</v>
      </c>
      <c r="N331" t="str">
        <f>("2000")</f>
        <v>2000</v>
      </c>
      <c r="O331" t="str">
        <f t="shared" si="135"/>
        <v>4F西文書庫 4F Western Language Books</v>
      </c>
      <c r="P331" t="s">
        <v>64</v>
      </c>
      <c r="W331" t="str">
        <f t="shared" si="134"/>
        <v>美國國會圖書分類法</v>
      </c>
      <c r="Y331" t="str">
        <f>("HF5657.4")</f>
        <v>HF5657.4</v>
      </c>
      <c r="Z331" t="str">
        <f t="shared" ref="Z331:Z342" si="142">("2018/08/11 13:34:15")</f>
        <v>2018/08/11 13:34:15</v>
      </c>
      <c r="AA331" t="str">
        <f t="shared" si="114"/>
        <v>catc</v>
      </c>
      <c r="AC331" t="str">
        <f>("D796")</f>
        <v>D796</v>
      </c>
      <c r="AE331" t="str">
        <f t="shared" si="133"/>
        <v>c.1</v>
      </c>
      <c r="AF331" t="str">
        <f t="shared" si="136"/>
        <v>1.可借圖書</v>
      </c>
      <c r="AG331" t="str">
        <f t="shared" si="140"/>
        <v>在架</v>
      </c>
      <c r="AI331" t="s">
        <v>65</v>
      </c>
      <c r="AK331" t="str">
        <f t="shared" si="115"/>
        <v>一般(Normal)</v>
      </c>
      <c r="AO331" t="s">
        <v>65</v>
      </c>
      <c r="AS331" t="str">
        <f>("1996 ")</f>
        <v xml:space="preserve">1996 </v>
      </c>
      <c r="AT331" t="str">
        <f t="shared" si="116"/>
        <v>catc</v>
      </c>
    </row>
    <row r="332" spans="1:46" x14ac:dyDescent="0.25">
      <c r="A332">
        <v>321</v>
      </c>
      <c r="B332" t="str">
        <f>("289236")</f>
        <v>289236</v>
      </c>
      <c r="C332" t="str">
        <f>("W00002357")</f>
        <v>W00002357</v>
      </c>
      <c r="D332" t="str">
        <f>("The six sigma revolution : how General Electric and others turned process into profits / ")</f>
        <v xml:space="preserve">The six sigma revolution : how General Electric and others turned process into profits / </v>
      </c>
      <c r="E332" t="str">
        <f>("Eckes, George, 1954- ")</f>
        <v xml:space="preserve">Eckes, George, 1954- </v>
      </c>
      <c r="F332" t="str">
        <f>("John Wiley, ")</f>
        <v xml:space="preserve">John Wiley, </v>
      </c>
      <c r="H332" t="str">
        <f t="shared" si="124"/>
        <v>圖書 book</v>
      </c>
      <c r="I332" t="str">
        <f>("TS156 E19 2001")</f>
        <v>TS156 E19 2001</v>
      </c>
      <c r="J332" t="str">
        <f>("047138822X")</f>
        <v>047138822X</v>
      </c>
      <c r="K332" t="str">
        <f>("908")</f>
        <v>908</v>
      </c>
      <c r="L332" t="str">
        <f t="shared" ref="L332:L395" si="143">("2001/10/10 00:00:00")</f>
        <v>2001/10/10 00:00:00</v>
      </c>
      <c r="M332" t="str">
        <f t="shared" si="141"/>
        <v>2018/08/11 13:34:15</v>
      </c>
      <c r="N332" t="str">
        <f>("2001")</f>
        <v>2001</v>
      </c>
      <c r="O332" t="str">
        <f t="shared" si="135"/>
        <v>4F西文書庫 4F Western Language Books</v>
      </c>
      <c r="P332" t="s">
        <v>64</v>
      </c>
      <c r="S332" t="str">
        <f>("xiv, 274 p. : ")</f>
        <v xml:space="preserve">xiv, 274 p. : </v>
      </c>
      <c r="T332" t="str">
        <f>("ill. ; ")</f>
        <v xml:space="preserve">ill. ; </v>
      </c>
      <c r="U332" t="str">
        <f>("24 cm. ")</f>
        <v xml:space="preserve">24 cm. </v>
      </c>
      <c r="W332" t="str">
        <f t="shared" si="134"/>
        <v>美國國會圖書分類法</v>
      </c>
      <c r="Y332" t="str">
        <f>("TS156")</f>
        <v>TS156</v>
      </c>
      <c r="Z332" t="str">
        <f t="shared" si="142"/>
        <v>2018/08/11 13:34:15</v>
      </c>
      <c r="AA332" t="str">
        <f t="shared" ref="AA332:AA395" si="144">("catc")</f>
        <v>catc</v>
      </c>
      <c r="AC332" t="str">
        <f>("E19")</f>
        <v>E19</v>
      </c>
      <c r="AE332" t="str">
        <f t="shared" si="133"/>
        <v>c.1</v>
      </c>
      <c r="AF332" t="str">
        <f t="shared" si="136"/>
        <v>1.可借圖書</v>
      </c>
      <c r="AG332" t="str">
        <f t="shared" si="140"/>
        <v>在架</v>
      </c>
      <c r="AI332" t="s">
        <v>65</v>
      </c>
      <c r="AK332" t="str">
        <f t="shared" ref="AK332:AK395" si="145">("一般(Normal)")</f>
        <v>一般(Normal)</v>
      </c>
      <c r="AO332" t="s">
        <v>65</v>
      </c>
      <c r="AS332" t="str">
        <f>("2000. ")</f>
        <v xml:space="preserve">2000. </v>
      </c>
      <c r="AT332" t="str">
        <f t="shared" ref="AT332:AT395" si="146">("catc")</f>
        <v>catc</v>
      </c>
    </row>
    <row r="333" spans="1:46" x14ac:dyDescent="0.25">
      <c r="A333">
        <v>322</v>
      </c>
      <c r="B333" t="str">
        <f>("289237")</f>
        <v>289237</v>
      </c>
      <c r="C333" t="str">
        <f>("W00002358")</f>
        <v>W00002358</v>
      </c>
      <c r="D333" t="str">
        <f>("Management decision making for nurses : 124 case studies / ")</f>
        <v xml:space="preserve">Management decision making for nurses : 124 case studies / </v>
      </c>
      <c r="E333" t="str">
        <f>("Marquis, Bessie L. ")</f>
        <v xml:space="preserve">Marquis, Bessie L. </v>
      </c>
      <c r="F333" t="str">
        <f>("Lippincott-Raven, ")</f>
        <v xml:space="preserve">Lippincott-Raven, </v>
      </c>
      <c r="G333" t="str">
        <f>("3rd ed. ")</f>
        <v xml:space="preserve">3rd ed. </v>
      </c>
      <c r="H333" t="str">
        <f t="shared" si="124"/>
        <v>圖書 book</v>
      </c>
      <c r="I333" t="str">
        <f>("RT89 M357 1998")</f>
        <v>RT89 M357 1998</v>
      </c>
      <c r="J333" t="str">
        <f>("039755429X")</f>
        <v>039755429X</v>
      </c>
      <c r="K333" t="str">
        <f>("840")</f>
        <v>840</v>
      </c>
      <c r="L333" t="str">
        <f t="shared" si="143"/>
        <v>2001/10/10 00:00:00</v>
      </c>
      <c r="M333" t="str">
        <f t="shared" si="141"/>
        <v>2018/08/11 13:34:15</v>
      </c>
      <c r="N333" t="str">
        <f>("1998")</f>
        <v>1998</v>
      </c>
      <c r="O333" t="str">
        <f t="shared" si="135"/>
        <v>4F西文書庫 4F Western Language Books</v>
      </c>
      <c r="P333" t="s">
        <v>64</v>
      </c>
      <c r="W333" t="str">
        <f t="shared" si="134"/>
        <v>美國國會圖書分類法</v>
      </c>
      <c r="Y333" t="str">
        <f>("RT89")</f>
        <v>RT89</v>
      </c>
      <c r="Z333" t="str">
        <f t="shared" si="142"/>
        <v>2018/08/11 13:34:15</v>
      </c>
      <c r="AA333" t="str">
        <f t="shared" si="144"/>
        <v>catc</v>
      </c>
      <c r="AC333" t="str">
        <f>("M357")</f>
        <v>M357</v>
      </c>
      <c r="AE333" t="str">
        <f t="shared" si="133"/>
        <v>c.1</v>
      </c>
      <c r="AF333" t="str">
        <f t="shared" si="136"/>
        <v>1.可借圖書</v>
      </c>
      <c r="AG333" t="str">
        <f t="shared" si="140"/>
        <v>在架</v>
      </c>
      <c r="AI333" t="s">
        <v>65</v>
      </c>
      <c r="AK333" t="str">
        <f t="shared" si="145"/>
        <v>一般(Normal)</v>
      </c>
      <c r="AO333" t="s">
        <v>65</v>
      </c>
      <c r="AS333" t="str">
        <f>("c1998. ")</f>
        <v xml:space="preserve">c1998. </v>
      </c>
      <c r="AT333" t="str">
        <f t="shared" si="146"/>
        <v>catc</v>
      </c>
    </row>
    <row r="334" spans="1:46" x14ac:dyDescent="0.25">
      <c r="A334">
        <v>323</v>
      </c>
      <c r="B334" t="str">
        <f>("289238")</f>
        <v>289238</v>
      </c>
      <c r="C334" t="str">
        <f>("W00002359")</f>
        <v>W00002359</v>
      </c>
      <c r="D334" t="str">
        <f>("Harvard business review on effective communication. ")</f>
        <v xml:space="preserve">Harvard business review on effective communication. </v>
      </c>
      <c r="E334" t="str">
        <f>("")</f>
        <v/>
      </c>
      <c r="F334" t="str">
        <f>("Harvard Business School Press, ")</f>
        <v xml:space="preserve">Harvard Business School Press, </v>
      </c>
      <c r="H334" t="str">
        <f t="shared" si="124"/>
        <v>圖書 book</v>
      </c>
      <c r="I334" t="str">
        <f>("HF5718 H341 1999")</f>
        <v>HF5718 H341 1999</v>
      </c>
      <c r="J334" t="str">
        <f>("1578511437")</f>
        <v>1578511437</v>
      </c>
      <c r="K334" t="str">
        <f>("576")</f>
        <v>576</v>
      </c>
      <c r="L334" t="str">
        <f t="shared" si="143"/>
        <v>2001/10/10 00:00:00</v>
      </c>
      <c r="M334" t="str">
        <f t="shared" si="141"/>
        <v>2018/08/11 13:34:15</v>
      </c>
      <c r="N334" t="str">
        <f>("1999")</f>
        <v>1999</v>
      </c>
      <c r="O334" t="str">
        <f t="shared" si="135"/>
        <v>4F西文書庫 4F Western Language Books</v>
      </c>
      <c r="P334" t="s">
        <v>64</v>
      </c>
      <c r="W334" t="str">
        <f t="shared" si="134"/>
        <v>美國國會圖書分類法</v>
      </c>
      <c r="Y334" t="str">
        <f>("HF5718")</f>
        <v>HF5718</v>
      </c>
      <c r="Z334" t="str">
        <f t="shared" si="142"/>
        <v>2018/08/11 13:34:15</v>
      </c>
      <c r="AA334" t="str">
        <f t="shared" si="144"/>
        <v>catc</v>
      </c>
      <c r="AC334" t="str">
        <f>("H341")</f>
        <v>H341</v>
      </c>
      <c r="AE334" t="str">
        <f t="shared" si="133"/>
        <v>c.1</v>
      </c>
      <c r="AF334" t="str">
        <f t="shared" si="136"/>
        <v>1.可借圖書</v>
      </c>
      <c r="AG334" t="str">
        <f t="shared" si="140"/>
        <v>在架</v>
      </c>
      <c r="AI334" t="s">
        <v>65</v>
      </c>
      <c r="AK334" t="str">
        <f t="shared" si="145"/>
        <v>一般(Normal)</v>
      </c>
      <c r="AO334" t="s">
        <v>65</v>
      </c>
      <c r="AS334" t="str">
        <f>("c1999. ")</f>
        <v xml:space="preserve">c1999. </v>
      </c>
      <c r="AT334" t="str">
        <f t="shared" si="146"/>
        <v>catc</v>
      </c>
    </row>
    <row r="335" spans="1:46" x14ac:dyDescent="0.25">
      <c r="A335">
        <v>324</v>
      </c>
      <c r="B335" t="str">
        <f>("289239")</f>
        <v>289239</v>
      </c>
      <c r="C335" t="str">
        <f>("W00002360")</f>
        <v>W00002360</v>
      </c>
      <c r="D335" t="str">
        <f>("Management Challenges for the 21st century")</f>
        <v>Management Challenges for the 21st century</v>
      </c>
      <c r="E335" t="str">
        <f>("Drucker Peter F.")</f>
        <v>Drucker Peter F.</v>
      </c>
      <c r="F335" t="str">
        <f>("Oxford,")</f>
        <v>Oxford,</v>
      </c>
      <c r="H335" t="str">
        <f t="shared" si="124"/>
        <v>圖書 book</v>
      </c>
      <c r="I335" t="str">
        <f>("HD31 D794 1999")</f>
        <v>HD31 D794 1999</v>
      </c>
      <c r="J335" t="str">
        <f>("0750644567")</f>
        <v>0750644567</v>
      </c>
      <c r="K335" t="str">
        <f>("836")</f>
        <v>836</v>
      </c>
      <c r="L335" t="str">
        <f t="shared" si="143"/>
        <v>2001/10/10 00:00:00</v>
      </c>
      <c r="M335" t="str">
        <f t="shared" si="141"/>
        <v>2018/08/11 13:34:15</v>
      </c>
      <c r="N335" t="str">
        <f>("1999")</f>
        <v>1999</v>
      </c>
      <c r="O335" t="str">
        <f t="shared" si="135"/>
        <v>4F西文書庫 4F Western Language Books</v>
      </c>
      <c r="P335" t="s">
        <v>64</v>
      </c>
      <c r="W335" t="str">
        <f t="shared" si="134"/>
        <v>美國國會圖書分類法</v>
      </c>
      <c r="Y335" t="str">
        <f>("HD31")</f>
        <v>HD31</v>
      </c>
      <c r="Z335" t="str">
        <f t="shared" si="142"/>
        <v>2018/08/11 13:34:15</v>
      </c>
      <c r="AA335" t="str">
        <f t="shared" si="144"/>
        <v>catc</v>
      </c>
      <c r="AC335" t="str">
        <f>("D794")</f>
        <v>D794</v>
      </c>
      <c r="AE335" t="str">
        <f t="shared" si="133"/>
        <v>c.1</v>
      </c>
      <c r="AF335" t="str">
        <f t="shared" si="136"/>
        <v>1.可借圖書</v>
      </c>
      <c r="AG335" t="str">
        <f t="shared" si="140"/>
        <v>在架</v>
      </c>
      <c r="AI335" t="s">
        <v>65</v>
      </c>
      <c r="AK335" t="str">
        <f t="shared" si="145"/>
        <v>一般(Normal)</v>
      </c>
      <c r="AO335" t="s">
        <v>65</v>
      </c>
      <c r="AS335" t="str">
        <f>("1999.")</f>
        <v>1999.</v>
      </c>
      <c r="AT335" t="str">
        <f t="shared" si="146"/>
        <v>catc</v>
      </c>
    </row>
    <row r="336" spans="1:46" x14ac:dyDescent="0.25">
      <c r="A336">
        <v>325</v>
      </c>
      <c r="B336" t="str">
        <f>("289240")</f>
        <v>289240</v>
      </c>
      <c r="C336" t="str">
        <f>("W00002361")</f>
        <v>W00002361</v>
      </c>
      <c r="D336" t="str">
        <f>("The wow factory : creating a customer focus revolution in your business / ")</f>
        <v xml:space="preserve">The wow factory : creating a customer focus revolution in your business / </v>
      </c>
      <c r="E336" t="str">
        <f>("Levesque, Paul, 1947- ")</f>
        <v xml:space="preserve">Levesque, Paul, 1947- </v>
      </c>
      <c r="F336" t="str">
        <f>("Irwin, ")</f>
        <v xml:space="preserve">Irwin, </v>
      </c>
      <c r="H336" t="str">
        <f t="shared" si="124"/>
        <v>圖書 book</v>
      </c>
      <c r="I336" t="str">
        <f>("HF5415.3 L662 1995")</f>
        <v>HF5415.3 L662 1995</v>
      </c>
      <c r="J336" t="str">
        <f>("0786303867")</f>
        <v>0786303867</v>
      </c>
      <c r="K336" t="str">
        <f>("644")</f>
        <v>644</v>
      </c>
      <c r="L336" t="str">
        <f t="shared" si="143"/>
        <v>2001/10/10 00:00:00</v>
      </c>
      <c r="M336" t="str">
        <f t="shared" si="141"/>
        <v>2018/08/11 13:34:15</v>
      </c>
      <c r="N336" t="str">
        <f>("1995")</f>
        <v>1995</v>
      </c>
      <c r="O336" t="str">
        <f t="shared" si="135"/>
        <v>4F西文書庫 4F Western Language Books</v>
      </c>
      <c r="P336" t="s">
        <v>64</v>
      </c>
      <c r="W336" t="str">
        <f t="shared" si="134"/>
        <v>美國國會圖書分類法</v>
      </c>
      <c r="Y336" t="str">
        <f>("HF5415.3")</f>
        <v>HF5415.3</v>
      </c>
      <c r="Z336" t="str">
        <f t="shared" si="142"/>
        <v>2018/08/11 13:34:15</v>
      </c>
      <c r="AA336" t="str">
        <f t="shared" si="144"/>
        <v>catc</v>
      </c>
      <c r="AC336" t="str">
        <f>("L662")</f>
        <v>L662</v>
      </c>
      <c r="AE336" t="str">
        <f t="shared" si="133"/>
        <v>c.1</v>
      </c>
      <c r="AF336" t="str">
        <f t="shared" si="136"/>
        <v>1.可借圖書</v>
      </c>
      <c r="AG336" t="str">
        <f t="shared" si="140"/>
        <v>在架</v>
      </c>
      <c r="AI336" t="s">
        <v>65</v>
      </c>
      <c r="AK336" t="str">
        <f t="shared" si="145"/>
        <v>一般(Normal)</v>
      </c>
      <c r="AO336" t="s">
        <v>65</v>
      </c>
      <c r="AS336" t="str">
        <f>("c1995. ")</f>
        <v xml:space="preserve">c1995. </v>
      </c>
      <c r="AT336" t="str">
        <f t="shared" si="146"/>
        <v>catc</v>
      </c>
    </row>
    <row r="337" spans="1:46" x14ac:dyDescent="0.25">
      <c r="A337">
        <v>326</v>
      </c>
      <c r="B337" t="str">
        <f>("289241")</f>
        <v>289241</v>
      </c>
      <c r="C337" t="str">
        <f>("W00002362")</f>
        <v>W00002362</v>
      </c>
      <c r="D337" t="str">
        <f>("Strategic management : process, content and implementation / ")</f>
        <v xml:space="preserve">Strategic management : process, content and implementation / </v>
      </c>
      <c r="E337" t="str">
        <f>("Macmillan, Hugh,  1942- ")</f>
        <v xml:space="preserve">Macmillan, Hugh,  1942- </v>
      </c>
      <c r="F337" t="str">
        <f>("Oxford University Press, ")</f>
        <v xml:space="preserve">Oxford University Press, </v>
      </c>
      <c r="H337" t="str">
        <f t="shared" si="124"/>
        <v>圖書 book</v>
      </c>
      <c r="I337" t="str">
        <f>("HD30.28 M167 2000")</f>
        <v>HD30.28 M167 2000</v>
      </c>
      <c r="J337" t="str">
        <f>("0198782292")</f>
        <v>0198782292</v>
      </c>
      <c r="K337" t="str">
        <f>("968")</f>
        <v>968</v>
      </c>
      <c r="L337" t="str">
        <f t="shared" si="143"/>
        <v>2001/10/10 00:00:00</v>
      </c>
      <c r="M337" t="str">
        <f t="shared" si="141"/>
        <v>2018/08/11 13:34:15</v>
      </c>
      <c r="N337" t="str">
        <f>("2000")</f>
        <v>2000</v>
      </c>
      <c r="O337" t="str">
        <f t="shared" si="135"/>
        <v>4F西文書庫 4F Western Language Books</v>
      </c>
      <c r="P337" t="s">
        <v>64</v>
      </c>
      <c r="W337" t="str">
        <f t="shared" si="134"/>
        <v>美國國會圖書分類法</v>
      </c>
      <c r="Y337" t="str">
        <f>("HD30.28")</f>
        <v>HD30.28</v>
      </c>
      <c r="Z337" t="str">
        <f t="shared" si="142"/>
        <v>2018/08/11 13:34:15</v>
      </c>
      <c r="AA337" t="str">
        <f t="shared" si="144"/>
        <v>catc</v>
      </c>
      <c r="AC337" t="str">
        <f>("M167")</f>
        <v>M167</v>
      </c>
      <c r="AE337" t="str">
        <f t="shared" si="133"/>
        <v>c.1</v>
      </c>
      <c r="AF337" t="str">
        <f t="shared" si="136"/>
        <v>1.可借圖書</v>
      </c>
      <c r="AG337" t="str">
        <f t="shared" si="140"/>
        <v>在架</v>
      </c>
      <c r="AI337" t="s">
        <v>65</v>
      </c>
      <c r="AK337" t="str">
        <f t="shared" si="145"/>
        <v>一般(Normal)</v>
      </c>
      <c r="AO337" t="s">
        <v>65</v>
      </c>
      <c r="AS337" t="str">
        <f>("c2000. ")</f>
        <v xml:space="preserve">c2000. </v>
      </c>
      <c r="AT337" t="str">
        <f t="shared" si="146"/>
        <v>catc</v>
      </c>
    </row>
    <row r="338" spans="1:46" x14ac:dyDescent="0.25">
      <c r="A338">
        <v>327</v>
      </c>
      <c r="B338" t="str">
        <f>("289242")</f>
        <v>289242</v>
      </c>
      <c r="C338" t="str">
        <f>("W00002363")</f>
        <v>W00002363</v>
      </c>
      <c r="D338" t="str">
        <f>("Knowledge management and organizational design / ")</f>
        <v xml:space="preserve">Knowledge management and organizational design / </v>
      </c>
      <c r="E338" t="str">
        <f>("Myers, Paul S.1964-")</f>
        <v>Myers, Paul S.1964-</v>
      </c>
      <c r="F338" t="str">
        <f>("Butterworth-Heinemann, ")</f>
        <v xml:space="preserve">Butterworth-Heinemann, </v>
      </c>
      <c r="H338" t="str">
        <f t="shared" si="124"/>
        <v>圖書 book</v>
      </c>
      <c r="I338" t="str">
        <f>("HD58.82 M468 1996")</f>
        <v>HD58.82 M468 1996</v>
      </c>
      <c r="J338" t="str">
        <f>("0750697490")</f>
        <v>0750697490</v>
      </c>
      <c r="K338" t="str">
        <f>("880")</f>
        <v>880</v>
      </c>
      <c r="L338" t="str">
        <f t="shared" si="143"/>
        <v>2001/10/10 00:00:00</v>
      </c>
      <c r="M338" t="str">
        <f t="shared" si="141"/>
        <v>2018/08/11 13:34:15</v>
      </c>
      <c r="N338" t="str">
        <f>("1996")</f>
        <v>1996</v>
      </c>
      <c r="O338" t="str">
        <f t="shared" si="135"/>
        <v>4F西文書庫 4F Western Language Books</v>
      </c>
      <c r="P338" t="s">
        <v>64</v>
      </c>
      <c r="W338" t="str">
        <f t="shared" si="134"/>
        <v>美國國會圖書分類法</v>
      </c>
      <c r="Y338" t="str">
        <f>("HD58.82")</f>
        <v>HD58.82</v>
      </c>
      <c r="Z338" t="str">
        <f t="shared" si="142"/>
        <v>2018/08/11 13:34:15</v>
      </c>
      <c r="AA338" t="str">
        <f t="shared" si="144"/>
        <v>catc</v>
      </c>
      <c r="AC338" t="str">
        <f>("M468")</f>
        <v>M468</v>
      </c>
      <c r="AE338" t="str">
        <f t="shared" si="133"/>
        <v>c.1</v>
      </c>
      <c r="AF338" t="str">
        <f t="shared" si="136"/>
        <v>1.可借圖書</v>
      </c>
      <c r="AG338" t="str">
        <f t="shared" si="140"/>
        <v>在架</v>
      </c>
      <c r="AI338" t="s">
        <v>65</v>
      </c>
      <c r="AK338" t="str">
        <f t="shared" si="145"/>
        <v>一般(Normal)</v>
      </c>
      <c r="AO338" t="s">
        <v>65</v>
      </c>
      <c r="AS338" t="str">
        <f>("c1996. ")</f>
        <v xml:space="preserve">c1996. </v>
      </c>
      <c r="AT338" t="str">
        <f t="shared" si="146"/>
        <v>catc</v>
      </c>
    </row>
    <row r="339" spans="1:46" x14ac:dyDescent="0.25">
      <c r="A339">
        <v>328</v>
      </c>
      <c r="B339" t="str">
        <f>("289214")</f>
        <v>289214</v>
      </c>
      <c r="C339" t="str">
        <f>("W00002364")</f>
        <v>W00002364</v>
      </c>
      <c r="D339" t="str">
        <f>("The knowing-doing gap :how smart companies turn knowledge into action /")</f>
        <v>The knowing-doing gap :how smart companies turn knowledge into action /</v>
      </c>
      <c r="E339" t="str">
        <f>("Pfeffer, Jeffrey.")</f>
        <v>Pfeffer, Jeffrey.</v>
      </c>
      <c r="F339" t="str">
        <f>("Harvard Business School Press ,")</f>
        <v>Harvard Business School Press ,</v>
      </c>
      <c r="H339" t="str">
        <f t="shared" si="124"/>
        <v>圖書 book</v>
      </c>
      <c r="I339" t="str">
        <f>("HD30.2 P524 1999")</f>
        <v>HD30.2 P524 1999</v>
      </c>
      <c r="J339" t="str">
        <f>("1578511240")</f>
        <v>1578511240</v>
      </c>
      <c r="K339" t="str">
        <f>("792")</f>
        <v>792</v>
      </c>
      <c r="L339" t="str">
        <f t="shared" si="143"/>
        <v>2001/10/10 00:00:00</v>
      </c>
      <c r="M339" t="str">
        <f t="shared" si="141"/>
        <v>2018/08/11 13:34:15</v>
      </c>
      <c r="N339" t="str">
        <f>("1999")</f>
        <v>1999</v>
      </c>
      <c r="O339" t="str">
        <f t="shared" si="135"/>
        <v>4F西文書庫 4F Western Language Books</v>
      </c>
      <c r="P339" t="s">
        <v>64</v>
      </c>
      <c r="W339" t="str">
        <f t="shared" si="134"/>
        <v>美國國會圖書分類法</v>
      </c>
      <c r="Y339" t="str">
        <f>("HD30.2")</f>
        <v>HD30.2</v>
      </c>
      <c r="Z339" t="str">
        <f t="shared" si="142"/>
        <v>2018/08/11 13:34:15</v>
      </c>
      <c r="AA339" t="str">
        <f t="shared" si="144"/>
        <v>catc</v>
      </c>
      <c r="AC339" t="str">
        <f>("P524")</f>
        <v>P524</v>
      </c>
      <c r="AE339" t="str">
        <f t="shared" si="133"/>
        <v>c.1</v>
      </c>
      <c r="AF339" t="str">
        <f t="shared" si="136"/>
        <v>1.可借圖書</v>
      </c>
      <c r="AG339" t="str">
        <f t="shared" si="140"/>
        <v>在架</v>
      </c>
      <c r="AI339" t="s">
        <v>65</v>
      </c>
      <c r="AK339" t="str">
        <f t="shared" si="145"/>
        <v>一般(Normal)</v>
      </c>
      <c r="AO339" t="s">
        <v>65</v>
      </c>
      <c r="AS339" t="str">
        <f>("1999.")</f>
        <v>1999.</v>
      </c>
      <c r="AT339" t="str">
        <f t="shared" si="146"/>
        <v>catc</v>
      </c>
    </row>
    <row r="340" spans="1:46" x14ac:dyDescent="0.25">
      <c r="A340">
        <v>329</v>
      </c>
      <c r="B340" t="str">
        <f>("289215")</f>
        <v>289215</v>
      </c>
      <c r="C340" t="str">
        <f>("W00002365")</f>
        <v>W00002365</v>
      </c>
      <c r="D340" t="str">
        <f>("Last minute meetings / ")</f>
        <v xml:space="preserve">Last minute meetings / </v>
      </c>
      <c r="E340" t="str">
        <f>("Dickey, Fern. ")</f>
        <v xml:space="preserve">Dickey, Fern. </v>
      </c>
      <c r="F340" t="str">
        <f>("Career Press, ")</f>
        <v xml:space="preserve">Career Press, </v>
      </c>
      <c r="H340" t="str">
        <f t="shared" si="124"/>
        <v>圖書 book</v>
      </c>
      <c r="I340" t="str">
        <f>("HF5734 D551 2001")</f>
        <v>HF5734 D551 2001</v>
      </c>
      <c r="J340" t="str">
        <f>("1564144976")</f>
        <v>1564144976</v>
      </c>
      <c r="K340" t="str">
        <f>("356")</f>
        <v>356</v>
      </c>
      <c r="L340" t="str">
        <f t="shared" si="143"/>
        <v>2001/10/10 00:00:00</v>
      </c>
      <c r="M340" t="str">
        <f t="shared" si="141"/>
        <v>2018/08/11 13:34:15</v>
      </c>
      <c r="N340" t="str">
        <f>("2001")</f>
        <v>2001</v>
      </c>
      <c r="O340" t="str">
        <f t="shared" si="135"/>
        <v>4F西文書庫 4F Western Language Books</v>
      </c>
      <c r="P340" t="s">
        <v>64</v>
      </c>
      <c r="W340" t="str">
        <f t="shared" si="134"/>
        <v>美國國會圖書分類法</v>
      </c>
      <c r="Y340" t="str">
        <f>("HF5734")</f>
        <v>HF5734</v>
      </c>
      <c r="Z340" t="str">
        <f t="shared" si="142"/>
        <v>2018/08/11 13:34:15</v>
      </c>
      <c r="AA340" t="str">
        <f t="shared" si="144"/>
        <v>catc</v>
      </c>
      <c r="AC340" t="str">
        <f>("D551")</f>
        <v>D551</v>
      </c>
      <c r="AE340" t="str">
        <f t="shared" ref="AE340:AE352" si="147">("c.1")</f>
        <v>c.1</v>
      </c>
      <c r="AF340" t="str">
        <f t="shared" si="136"/>
        <v>1.可借圖書</v>
      </c>
      <c r="AG340" t="str">
        <f t="shared" si="140"/>
        <v>在架</v>
      </c>
      <c r="AI340" t="s">
        <v>65</v>
      </c>
      <c r="AK340" t="str">
        <f t="shared" si="145"/>
        <v>一般(Normal)</v>
      </c>
      <c r="AO340" t="s">
        <v>65</v>
      </c>
      <c r="AS340" t="str">
        <f>("c2001. ")</f>
        <v xml:space="preserve">c2001. </v>
      </c>
      <c r="AT340" t="str">
        <f t="shared" si="146"/>
        <v>catc</v>
      </c>
    </row>
    <row r="341" spans="1:46" x14ac:dyDescent="0.25">
      <c r="A341">
        <v>330</v>
      </c>
      <c r="B341" t="str">
        <f>("289216")</f>
        <v>289216</v>
      </c>
      <c r="C341" t="str">
        <f>("W00002366")</f>
        <v>W00002366</v>
      </c>
      <c r="D341" t="str">
        <f>("Last minute speeches and toasts / ")</f>
        <v xml:space="preserve">Last minute speeches and toasts / </v>
      </c>
      <c r="E341" t="str">
        <f>("Frothingham, Andrew")</f>
        <v>Frothingham, Andrew</v>
      </c>
      <c r="F341" t="str">
        <f>("Career Press, ")</f>
        <v xml:space="preserve">Career Press, </v>
      </c>
      <c r="H341" t="str">
        <f t="shared" ref="H341:H404" si="148">("圖書 book")</f>
        <v>圖書 book</v>
      </c>
      <c r="I341" t="str">
        <f>("PN6122 F941 2001")</f>
        <v>PN6122 F941 2001</v>
      </c>
      <c r="J341" t="str">
        <f>("1564144933")</f>
        <v>1564144933</v>
      </c>
      <c r="K341" t="str">
        <f>("356")</f>
        <v>356</v>
      </c>
      <c r="L341" t="str">
        <f t="shared" si="143"/>
        <v>2001/10/10 00:00:00</v>
      </c>
      <c r="M341" t="str">
        <f t="shared" si="141"/>
        <v>2018/08/11 13:34:15</v>
      </c>
      <c r="N341" t="str">
        <f>("2001")</f>
        <v>2001</v>
      </c>
      <c r="O341" t="str">
        <f t="shared" si="135"/>
        <v>4F西文書庫 4F Western Language Books</v>
      </c>
      <c r="P341" t="s">
        <v>64</v>
      </c>
      <c r="W341" t="str">
        <f t="shared" si="134"/>
        <v>美國國會圖書分類法</v>
      </c>
      <c r="Y341" t="str">
        <f>("PN6122")</f>
        <v>PN6122</v>
      </c>
      <c r="Z341" t="str">
        <f t="shared" si="142"/>
        <v>2018/08/11 13:34:15</v>
      </c>
      <c r="AA341" t="str">
        <f t="shared" si="144"/>
        <v>catc</v>
      </c>
      <c r="AC341" t="str">
        <f>("F941")</f>
        <v>F941</v>
      </c>
      <c r="AE341" t="str">
        <f t="shared" si="147"/>
        <v>c.1</v>
      </c>
      <c r="AF341" t="str">
        <f t="shared" si="136"/>
        <v>1.可借圖書</v>
      </c>
      <c r="AG341" t="str">
        <f t="shared" si="140"/>
        <v>在架</v>
      </c>
      <c r="AI341" t="s">
        <v>65</v>
      </c>
      <c r="AK341" t="str">
        <f t="shared" si="145"/>
        <v>一般(Normal)</v>
      </c>
      <c r="AO341" t="s">
        <v>65</v>
      </c>
      <c r="AS341" t="str">
        <f>("2001. ")</f>
        <v xml:space="preserve">2001. </v>
      </c>
      <c r="AT341" t="str">
        <f t="shared" si="146"/>
        <v>catc</v>
      </c>
    </row>
    <row r="342" spans="1:46" x14ac:dyDescent="0.25">
      <c r="A342">
        <v>331</v>
      </c>
      <c r="B342" t="str">
        <f>("289217")</f>
        <v>289217</v>
      </c>
      <c r="C342" t="str">
        <f>("W00002367")</f>
        <v>W00002367</v>
      </c>
      <c r="D342" t="str">
        <f>("Targeting the job you want / ")</f>
        <v xml:space="preserve">Targeting the job you want / </v>
      </c>
      <c r="E342" t="str">
        <f>("Wendleton, Kate. ")</f>
        <v xml:space="preserve">Wendleton, Kate. </v>
      </c>
      <c r="F342" t="str">
        <f>("Career Press, ")</f>
        <v xml:space="preserve">Career Press, </v>
      </c>
      <c r="H342" t="str">
        <f t="shared" si="148"/>
        <v>圖書 book</v>
      </c>
      <c r="I342" t="str">
        <f>("HF5382.7 W471 2000")</f>
        <v>HF5382.7 W471 2000</v>
      </c>
      <c r="J342" t="str">
        <f>("1564144496")</f>
        <v>1564144496</v>
      </c>
      <c r="K342" t="str">
        <f>("384")</f>
        <v>384</v>
      </c>
      <c r="L342" t="str">
        <f t="shared" si="143"/>
        <v>2001/10/10 00:00:00</v>
      </c>
      <c r="M342" t="str">
        <f t="shared" ref="M342:M352" si="149">("2018/08/11 13:34:16")</f>
        <v>2018/08/11 13:34:16</v>
      </c>
      <c r="N342" t="str">
        <f>("2000")</f>
        <v>2000</v>
      </c>
      <c r="O342" t="str">
        <f t="shared" si="135"/>
        <v>4F西文書庫 4F Western Language Books</v>
      </c>
      <c r="P342" t="s">
        <v>64</v>
      </c>
      <c r="W342" t="str">
        <f t="shared" si="134"/>
        <v>美國國會圖書分類法</v>
      </c>
      <c r="Y342" t="str">
        <f>("HF5382.7")</f>
        <v>HF5382.7</v>
      </c>
      <c r="Z342" t="str">
        <f t="shared" si="142"/>
        <v>2018/08/11 13:34:15</v>
      </c>
      <c r="AA342" t="str">
        <f t="shared" si="144"/>
        <v>catc</v>
      </c>
      <c r="AC342" t="str">
        <f>("W471")</f>
        <v>W471</v>
      </c>
      <c r="AE342" t="str">
        <f t="shared" si="147"/>
        <v>c.1</v>
      </c>
      <c r="AF342" t="str">
        <f t="shared" si="136"/>
        <v>1.可借圖書</v>
      </c>
      <c r="AG342" t="str">
        <f t="shared" si="140"/>
        <v>在架</v>
      </c>
      <c r="AI342" t="s">
        <v>65</v>
      </c>
      <c r="AK342" t="str">
        <f t="shared" si="145"/>
        <v>一般(Normal)</v>
      </c>
      <c r="AO342" t="s">
        <v>65</v>
      </c>
      <c r="AS342" t="str">
        <f>("2000. ")</f>
        <v xml:space="preserve">2000. </v>
      </c>
      <c r="AT342" t="str">
        <f t="shared" si="146"/>
        <v>catc</v>
      </c>
    </row>
    <row r="343" spans="1:46" x14ac:dyDescent="0.25">
      <c r="A343">
        <v>332</v>
      </c>
      <c r="B343" t="str">
        <f>("289218")</f>
        <v>289218</v>
      </c>
      <c r="C343" t="str">
        <f>("W00002368")</f>
        <v>W00002368</v>
      </c>
      <c r="D343" t="str">
        <f>("Start up : an entrepreneur's guide to launching and managing a new business / ")</f>
        <v xml:space="preserve">Start up : an entrepreneur's guide to launching and managing a new business / </v>
      </c>
      <c r="E343" t="str">
        <f>("Stolze, William J. ")</f>
        <v xml:space="preserve">Stolze, William J. </v>
      </c>
      <c r="F343" t="str">
        <f>("Career Press, ")</f>
        <v xml:space="preserve">Career Press, </v>
      </c>
      <c r="G343" t="str">
        <f>("5th ed. ")</f>
        <v xml:space="preserve">5th ed. </v>
      </c>
      <c r="H343" t="str">
        <f t="shared" si="148"/>
        <v>圖書 book</v>
      </c>
      <c r="I343" t="str">
        <f>("HD62.5 S875 1999")</f>
        <v>HD62.5 S875 1999</v>
      </c>
      <c r="J343" t="str">
        <f>("1564144321")</f>
        <v>1564144321</v>
      </c>
      <c r="K343" t="str">
        <f>("504")</f>
        <v>504</v>
      </c>
      <c r="L343" t="str">
        <f t="shared" si="143"/>
        <v>2001/10/10 00:00:00</v>
      </c>
      <c r="M343" t="str">
        <f t="shared" si="149"/>
        <v>2018/08/11 13:34:16</v>
      </c>
      <c r="N343" t="str">
        <f>("1999")</f>
        <v>1999</v>
      </c>
      <c r="O343" t="str">
        <f t="shared" si="135"/>
        <v>4F西文書庫 4F Western Language Books</v>
      </c>
      <c r="P343" t="s">
        <v>64</v>
      </c>
      <c r="W343" t="str">
        <f t="shared" si="134"/>
        <v>美國國會圖書分類法</v>
      </c>
      <c r="Y343" t="str">
        <f>("HD62.5")</f>
        <v>HD62.5</v>
      </c>
      <c r="Z343" t="str">
        <f t="shared" ref="Z343:Z352" si="150">("2018/08/11 13:34:16")</f>
        <v>2018/08/11 13:34:16</v>
      </c>
      <c r="AA343" t="str">
        <f t="shared" si="144"/>
        <v>catc</v>
      </c>
      <c r="AC343" t="str">
        <f>("S875")</f>
        <v>S875</v>
      </c>
      <c r="AE343" t="str">
        <f t="shared" si="147"/>
        <v>c.1</v>
      </c>
      <c r="AF343" t="str">
        <f t="shared" si="136"/>
        <v>1.可借圖書</v>
      </c>
      <c r="AG343" t="str">
        <f t="shared" si="140"/>
        <v>在架</v>
      </c>
      <c r="AI343" t="s">
        <v>65</v>
      </c>
      <c r="AK343" t="str">
        <f t="shared" si="145"/>
        <v>一般(Normal)</v>
      </c>
      <c r="AO343" t="s">
        <v>65</v>
      </c>
      <c r="AS343" t="str">
        <f>("c1999. ")</f>
        <v xml:space="preserve">c1999. </v>
      </c>
      <c r="AT343" t="str">
        <f t="shared" si="146"/>
        <v>catc</v>
      </c>
    </row>
    <row r="344" spans="1:46" x14ac:dyDescent="0.25">
      <c r="A344">
        <v>333</v>
      </c>
      <c r="B344" t="str">
        <f>("289219")</f>
        <v>289219</v>
      </c>
      <c r="C344" t="str">
        <f>("W00002369")</f>
        <v>W00002369</v>
      </c>
      <c r="D344" t="str">
        <f>("Corporate portals : revolutionizing information access to increase productivity and drive the bottom line / ")</f>
        <v xml:space="preserve">Corporate portals : revolutionizing information access to increase productivity and drive the bottom line / </v>
      </c>
      <c r="E344" t="str">
        <f>("Collins, Heidi. ")</f>
        <v xml:space="preserve">Collins, Heidi. </v>
      </c>
      <c r="F344" t="str">
        <f>("AMACOM, ")</f>
        <v xml:space="preserve">AMACOM, </v>
      </c>
      <c r="H344" t="str">
        <f t="shared" si="148"/>
        <v>圖書 book</v>
      </c>
      <c r="I344" t="str">
        <f>("HD39.285 C699 2001")</f>
        <v>HD39.285 C699 2001</v>
      </c>
      <c r="J344" t="str">
        <f>("0814405932")</f>
        <v>0814405932</v>
      </c>
      <c r="K344" t="str">
        <f>("884")</f>
        <v>884</v>
      </c>
      <c r="L344" t="str">
        <f t="shared" si="143"/>
        <v>2001/10/10 00:00:00</v>
      </c>
      <c r="M344" t="str">
        <f t="shared" si="149"/>
        <v>2018/08/11 13:34:16</v>
      </c>
      <c r="N344" t="str">
        <f>("2001")</f>
        <v>2001</v>
      </c>
      <c r="O344" t="str">
        <f t="shared" ref="O344:O352" si="151">("4F西文書庫 4F Western Language Books")</f>
        <v>4F西文書庫 4F Western Language Books</v>
      </c>
      <c r="P344" t="s">
        <v>64</v>
      </c>
      <c r="W344" t="str">
        <f t="shared" si="134"/>
        <v>美國國會圖書分類法</v>
      </c>
      <c r="Y344" t="str">
        <f>("HD39.285")</f>
        <v>HD39.285</v>
      </c>
      <c r="Z344" t="str">
        <f t="shared" si="150"/>
        <v>2018/08/11 13:34:16</v>
      </c>
      <c r="AA344" t="str">
        <f t="shared" si="144"/>
        <v>catc</v>
      </c>
      <c r="AC344" t="str">
        <f>("C699")</f>
        <v>C699</v>
      </c>
      <c r="AE344" t="str">
        <f t="shared" si="147"/>
        <v>c.1</v>
      </c>
      <c r="AF344" t="str">
        <f t="shared" ref="AF344:AF375" si="152">("1.可借圖書")</f>
        <v>1.可借圖書</v>
      </c>
      <c r="AG344" t="str">
        <f t="shared" si="140"/>
        <v>在架</v>
      </c>
      <c r="AI344" t="s">
        <v>65</v>
      </c>
      <c r="AK344" t="str">
        <f t="shared" si="145"/>
        <v>一般(Normal)</v>
      </c>
      <c r="AO344" t="s">
        <v>65</v>
      </c>
      <c r="AS344" t="str">
        <f>("2001. ")</f>
        <v xml:space="preserve">2001. </v>
      </c>
      <c r="AT344" t="str">
        <f t="shared" si="146"/>
        <v>catc</v>
      </c>
    </row>
    <row r="345" spans="1:46" x14ac:dyDescent="0.25">
      <c r="A345">
        <v>334</v>
      </c>
      <c r="B345" t="str">
        <f>("289220")</f>
        <v>289220</v>
      </c>
      <c r="C345" t="str">
        <f>("W00002370")</f>
        <v>W00002370</v>
      </c>
      <c r="D345" t="str">
        <f>("Last minute retirement planning / ")</f>
        <v xml:space="preserve">Last minute retirement planning / </v>
      </c>
      <c r="E345" t="str">
        <f>("Rosenberg, Stephen M., 1944- ")</f>
        <v xml:space="preserve">Rosenberg, Stephen M., 1944- </v>
      </c>
      <c r="F345" t="str">
        <f>("Career Press, ")</f>
        <v xml:space="preserve">Career Press, </v>
      </c>
      <c r="H345" t="str">
        <f t="shared" si="148"/>
        <v>圖書 book</v>
      </c>
      <c r="I345" t="str">
        <f>("HG179 R813 1999")</f>
        <v>HG179 R813 1999</v>
      </c>
      <c r="J345" t="str">
        <f>("1564143767")</f>
        <v>1564143767</v>
      </c>
      <c r="K345" t="str">
        <f>("296")</f>
        <v>296</v>
      </c>
      <c r="L345" t="str">
        <f t="shared" si="143"/>
        <v>2001/10/10 00:00:00</v>
      </c>
      <c r="M345" t="str">
        <f t="shared" si="149"/>
        <v>2018/08/11 13:34:16</v>
      </c>
      <c r="N345" t="str">
        <f>("1999")</f>
        <v>1999</v>
      </c>
      <c r="O345" t="str">
        <f t="shared" si="151"/>
        <v>4F西文書庫 4F Western Language Books</v>
      </c>
      <c r="P345" t="s">
        <v>64</v>
      </c>
      <c r="W345" t="str">
        <f t="shared" si="134"/>
        <v>美國國會圖書分類法</v>
      </c>
      <c r="Y345" t="str">
        <f>("HG179")</f>
        <v>HG179</v>
      </c>
      <c r="Z345" t="str">
        <f t="shared" si="150"/>
        <v>2018/08/11 13:34:16</v>
      </c>
      <c r="AA345" t="str">
        <f t="shared" si="144"/>
        <v>catc</v>
      </c>
      <c r="AC345" t="str">
        <f>("R813")</f>
        <v>R813</v>
      </c>
      <c r="AE345" t="str">
        <f t="shared" si="147"/>
        <v>c.1</v>
      </c>
      <c r="AF345" t="str">
        <f t="shared" si="152"/>
        <v>1.可借圖書</v>
      </c>
      <c r="AG345" t="str">
        <f t="shared" si="140"/>
        <v>在架</v>
      </c>
      <c r="AI345" t="s">
        <v>65</v>
      </c>
      <c r="AK345" t="str">
        <f t="shared" si="145"/>
        <v>一般(Normal)</v>
      </c>
      <c r="AO345" t="s">
        <v>65</v>
      </c>
      <c r="AS345" t="str">
        <f>("c1999. ")</f>
        <v xml:space="preserve">c1999. </v>
      </c>
      <c r="AT345" t="str">
        <f t="shared" si="146"/>
        <v>catc</v>
      </c>
    </row>
    <row r="346" spans="1:46" x14ac:dyDescent="0.25">
      <c r="A346">
        <v>335</v>
      </c>
      <c r="B346" t="str">
        <f>("289261")</f>
        <v>289261</v>
      </c>
      <c r="C346" t="str">
        <f>("W00002371")</f>
        <v>W00002371</v>
      </c>
      <c r="D346" t="str">
        <f>("Powerful performance appraisals : how to set expectations and work together to improve performance / ")</f>
        <v xml:space="preserve">Powerful performance appraisals : how to set expectations and work together to improve performance / </v>
      </c>
      <c r="E346" t="str">
        <f>("McKirchy, Karen. ")</f>
        <v xml:space="preserve">McKirchy, Karen. </v>
      </c>
      <c r="F346" t="str">
        <f>("Career Press, ")</f>
        <v xml:space="preserve">Career Press, </v>
      </c>
      <c r="H346" t="str">
        <f t="shared" si="148"/>
        <v>圖書 book</v>
      </c>
      <c r="I346" t="str">
        <f>("HF5549.5 M111 1998")</f>
        <v>HF5549.5 M111 1998</v>
      </c>
      <c r="J346" t="str">
        <f>("1564143678")</f>
        <v>1564143678</v>
      </c>
      <c r="K346" t="str">
        <f>("384")</f>
        <v>384</v>
      </c>
      <c r="L346" t="str">
        <f t="shared" si="143"/>
        <v>2001/10/10 00:00:00</v>
      </c>
      <c r="M346" t="str">
        <f t="shared" si="149"/>
        <v>2018/08/11 13:34:16</v>
      </c>
      <c r="N346" t="str">
        <f>("1998")</f>
        <v>1998</v>
      </c>
      <c r="O346" t="str">
        <f t="shared" si="151"/>
        <v>4F西文書庫 4F Western Language Books</v>
      </c>
      <c r="P346" t="s">
        <v>64</v>
      </c>
      <c r="W346" t="str">
        <f t="shared" si="134"/>
        <v>美國國會圖書分類法</v>
      </c>
      <c r="Y346" t="str">
        <f>("HF5549.5")</f>
        <v>HF5549.5</v>
      </c>
      <c r="Z346" t="str">
        <f t="shared" si="150"/>
        <v>2018/08/11 13:34:16</v>
      </c>
      <c r="AA346" t="str">
        <f t="shared" si="144"/>
        <v>catc</v>
      </c>
      <c r="AC346" t="str">
        <f>("M111")</f>
        <v>M111</v>
      </c>
      <c r="AE346" t="str">
        <f t="shared" si="147"/>
        <v>c.1</v>
      </c>
      <c r="AF346" t="str">
        <f t="shared" si="152"/>
        <v>1.可借圖書</v>
      </c>
      <c r="AG346" t="str">
        <f t="shared" si="140"/>
        <v>在架</v>
      </c>
      <c r="AI346" t="s">
        <v>65</v>
      </c>
      <c r="AK346" t="str">
        <f t="shared" si="145"/>
        <v>一般(Normal)</v>
      </c>
      <c r="AO346" t="s">
        <v>65</v>
      </c>
      <c r="AS346" t="str">
        <f>("c1998. ")</f>
        <v xml:space="preserve">c1998. </v>
      </c>
      <c r="AT346" t="str">
        <f t="shared" si="146"/>
        <v>catc</v>
      </c>
    </row>
    <row r="347" spans="1:46" x14ac:dyDescent="0.25">
      <c r="A347">
        <v>336</v>
      </c>
      <c r="B347" t="str">
        <f>("289243")</f>
        <v>289243</v>
      </c>
      <c r="C347" t="str">
        <f>("W00002372")</f>
        <v>W00002372</v>
      </c>
      <c r="D347" t="str">
        <f>("Behind powerful brands : from strategy to campaign / ")</f>
        <v xml:space="preserve">Behind powerful brands : from strategy to campaign / </v>
      </c>
      <c r="E347" t="str">
        <f>("Jones, John Philip. ")</f>
        <v xml:space="preserve">Jones, John Philip. </v>
      </c>
      <c r="F347" t="str">
        <f>("Tata McGraw-Hill Pub. Co., ")</f>
        <v xml:space="preserve">Tata McGraw-Hill Pub. Co., </v>
      </c>
      <c r="H347" t="str">
        <f t="shared" si="148"/>
        <v>圖書 book</v>
      </c>
      <c r="I347" t="str">
        <f>("HD9000 J77 2000")</f>
        <v>HD9000 J77 2000</v>
      </c>
      <c r="J347" t="str">
        <f>("0074636642")</f>
        <v>0074636642</v>
      </c>
      <c r="K347" t="str">
        <f>("444")</f>
        <v>444</v>
      </c>
      <c r="L347" t="str">
        <f t="shared" si="143"/>
        <v>2001/10/10 00:00:00</v>
      </c>
      <c r="M347" t="str">
        <f t="shared" si="149"/>
        <v>2018/08/11 13:34:16</v>
      </c>
      <c r="N347" t="str">
        <f>("2000")</f>
        <v>2000</v>
      </c>
      <c r="O347" t="str">
        <f t="shared" si="151"/>
        <v>4F西文書庫 4F Western Language Books</v>
      </c>
      <c r="P347" t="s">
        <v>64</v>
      </c>
      <c r="S347" t="str">
        <f>("xii, 322 p. : ")</f>
        <v xml:space="preserve">xii, 322 p. : </v>
      </c>
      <c r="T347" t="str">
        <f>("ill. (some col.) ; ")</f>
        <v xml:space="preserve">ill. (some col.) ; </v>
      </c>
      <c r="U347" t="str">
        <f>("24 cm. ")</f>
        <v xml:space="preserve">24 cm. </v>
      </c>
      <c r="W347" t="str">
        <f t="shared" si="134"/>
        <v>美國國會圖書分類法</v>
      </c>
      <c r="Y347" t="str">
        <f>("HD9000")</f>
        <v>HD9000</v>
      </c>
      <c r="Z347" t="str">
        <f t="shared" si="150"/>
        <v>2018/08/11 13:34:16</v>
      </c>
      <c r="AA347" t="str">
        <f t="shared" si="144"/>
        <v>catc</v>
      </c>
      <c r="AC347" t="str">
        <f>("J77")</f>
        <v>J77</v>
      </c>
      <c r="AE347" t="str">
        <f t="shared" si="147"/>
        <v>c.1</v>
      </c>
      <c r="AF347" t="str">
        <f t="shared" si="152"/>
        <v>1.可借圖書</v>
      </c>
      <c r="AG347" t="str">
        <f t="shared" si="140"/>
        <v>在架</v>
      </c>
      <c r="AI347" t="s">
        <v>65</v>
      </c>
      <c r="AK347" t="str">
        <f t="shared" si="145"/>
        <v>一般(Normal)</v>
      </c>
      <c r="AO347" t="s">
        <v>65</v>
      </c>
      <c r="AS347" t="str">
        <f>("c2000. ")</f>
        <v xml:space="preserve">c2000. </v>
      </c>
      <c r="AT347" t="str">
        <f t="shared" si="146"/>
        <v>catc</v>
      </c>
    </row>
    <row r="348" spans="1:46" x14ac:dyDescent="0.25">
      <c r="A348">
        <v>337</v>
      </c>
      <c r="B348" t="str">
        <f>("289244")</f>
        <v>289244</v>
      </c>
      <c r="C348" t="str">
        <f>("W00002373")</f>
        <v>W00002373</v>
      </c>
      <c r="D348" t="str">
        <f>("Regulation and the nature of postal and delivery services /")</f>
        <v>Regulation and the nature of postal and delivery services /</v>
      </c>
      <c r="E348" t="str">
        <f>("Crew, Michael A ;Kleindorfer, Paul R ")</f>
        <v xml:space="preserve">Crew, Michael A ;Kleindorfer, Paul R </v>
      </c>
      <c r="F348" t="str">
        <f>("Kluwer Academic Publishers,")</f>
        <v>Kluwer Academic Publishers,</v>
      </c>
      <c r="H348" t="str">
        <f t="shared" si="148"/>
        <v>圖書 book</v>
      </c>
      <c r="I348" t="str">
        <f>("HE6011 D632 1999")</f>
        <v>HE6011 D632 1999</v>
      </c>
      <c r="J348" t="str">
        <f>("0198775709")</f>
        <v>0198775709</v>
      </c>
      <c r="K348" t="str">
        <f>("1096")</f>
        <v>1096</v>
      </c>
      <c r="L348" t="str">
        <f t="shared" si="143"/>
        <v>2001/10/10 00:00:00</v>
      </c>
      <c r="M348" t="str">
        <f t="shared" si="149"/>
        <v>2018/08/11 13:34:16</v>
      </c>
      <c r="N348" t="str">
        <f>("1999")</f>
        <v>1999</v>
      </c>
      <c r="O348" t="str">
        <f t="shared" si="151"/>
        <v>4F西文書庫 4F Western Language Books</v>
      </c>
      <c r="P348" t="s">
        <v>64</v>
      </c>
      <c r="W348" t="str">
        <f t="shared" si="134"/>
        <v>美國國會圖書分類法</v>
      </c>
      <c r="Y348" t="str">
        <f>("HE6011")</f>
        <v>HE6011</v>
      </c>
      <c r="Z348" t="str">
        <f t="shared" si="150"/>
        <v>2018/08/11 13:34:16</v>
      </c>
      <c r="AA348" t="str">
        <f t="shared" si="144"/>
        <v>catc</v>
      </c>
      <c r="AC348" t="str">
        <f>("D632")</f>
        <v>D632</v>
      </c>
      <c r="AE348" t="str">
        <f t="shared" si="147"/>
        <v>c.1</v>
      </c>
      <c r="AF348" t="str">
        <f t="shared" si="152"/>
        <v>1.可借圖書</v>
      </c>
      <c r="AG348" t="str">
        <f t="shared" si="140"/>
        <v>在架</v>
      </c>
      <c r="AI348" t="s">
        <v>65</v>
      </c>
      <c r="AK348" t="str">
        <f t="shared" si="145"/>
        <v>一般(Normal)</v>
      </c>
      <c r="AO348" t="s">
        <v>65</v>
      </c>
      <c r="AS348" t="str">
        <f>("c1993 ")</f>
        <v xml:space="preserve">c1993 </v>
      </c>
      <c r="AT348" t="str">
        <f t="shared" si="146"/>
        <v>catc</v>
      </c>
    </row>
    <row r="349" spans="1:46" x14ac:dyDescent="0.25">
      <c r="A349">
        <v>338</v>
      </c>
      <c r="B349" t="str">
        <f>("289245")</f>
        <v>289245</v>
      </c>
      <c r="C349" t="str">
        <f>("W00002374")</f>
        <v>W00002374</v>
      </c>
      <c r="D349" t="str">
        <f>("Hiring : how to find and keep the best people / ")</f>
        <v xml:space="preserve">Hiring : how to find and keep the best people / </v>
      </c>
      <c r="E349" t="str">
        <f>("Deems, Richard S. ")</f>
        <v xml:space="preserve">Deems, Richard S. </v>
      </c>
      <c r="F349" t="str">
        <f>("Career Press, ")</f>
        <v xml:space="preserve">Career Press, </v>
      </c>
      <c r="H349" t="str">
        <f t="shared" si="148"/>
        <v>圖書 book</v>
      </c>
      <c r="I349" t="str">
        <f>("HF5549.5 D311 1999")</f>
        <v>HF5549.5 D311 1999</v>
      </c>
      <c r="J349" t="str">
        <f>("1564143945")</f>
        <v>1564143945</v>
      </c>
      <c r="K349" t="str">
        <f>("384")</f>
        <v>384</v>
      </c>
      <c r="L349" t="str">
        <f t="shared" si="143"/>
        <v>2001/10/10 00:00:00</v>
      </c>
      <c r="M349" t="str">
        <f t="shared" si="149"/>
        <v>2018/08/11 13:34:16</v>
      </c>
      <c r="N349" t="str">
        <f>("1999")</f>
        <v>1999</v>
      </c>
      <c r="O349" t="str">
        <f t="shared" si="151"/>
        <v>4F西文書庫 4F Western Language Books</v>
      </c>
      <c r="P349" t="s">
        <v>64</v>
      </c>
      <c r="W349" t="str">
        <f t="shared" si="134"/>
        <v>美國國會圖書分類法</v>
      </c>
      <c r="Y349" t="str">
        <f>("HF5549.5")</f>
        <v>HF5549.5</v>
      </c>
      <c r="Z349" t="str">
        <f t="shared" si="150"/>
        <v>2018/08/11 13:34:16</v>
      </c>
      <c r="AA349" t="str">
        <f t="shared" si="144"/>
        <v>catc</v>
      </c>
      <c r="AC349" t="str">
        <f>("D311")</f>
        <v>D311</v>
      </c>
      <c r="AE349" t="str">
        <f t="shared" si="147"/>
        <v>c.1</v>
      </c>
      <c r="AF349" t="str">
        <f t="shared" si="152"/>
        <v>1.可借圖書</v>
      </c>
      <c r="AG349" t="str">
        <f t="shared" si="140"/>
        <v>在架</v>
      </c>
      <c r="AI349" t="s">
        <v>65</v>
      </c>
      <c r="AK349" t="str">
        <f t="shared" si="145"/>
        <v>一般(Normal)</v>
      </c>
      <c r="AO349" t="s">
        <v>65</v>
      </c>
      <c r="AS349" t="str">
        <f>("c1999. ")</f>
        <v xml:space="preserve">c1999. </v>
      </c>
      <c r="AT349" t="str">
        <f t="shared" si="146"/>
        <v>catc</v>
      </c>
    </row>
    <row r="350" spans="1:46" x14ac:dyDescent="0.25">
      <c r="A350">
        <v>339</v>
      </c>
      <c r="B350" t="str">
        <f>("289246")</f>
        <v>289246</v>
      </c>
      <c r="C350" t="str">
        <f>("W00002375")</f>
        <v>W00002375</v>
      </c>
      <c r="D350" t="str">
        <f>("Managing Corporate Reputations")</f>
        <v>Managing Corporate Reputations</v>
      </c>
      <c r="E350" t="str">
        <f>("Jolly, Adam ")</f>
        <v xml:space="preserve">Jolly, Adam </v>
      </c>
      <c r="F350" t="str">
        <f>("Kogan Page,")</f>
        <v>Kogan Page,</v>
      </c>
      <c r="H350" t="str">
        <f t="shared" si="148"/>
        <v>圖書 book</v>
      </c>
      <c r="I350" t="str">
        <f>("HD30.22 A193 2001")</f>
        <v>HD30.22 A193 2001</v>
      </c>
      <c r="J350" t="str">
        <f>("0749434880")</f>
        <v>0749434880</v>
      </c>
      <c r="K350" t="str">
        <f>("1498")</f>
        <v>1498</v>
      </c>
      <c r="L350" t="str">
        <f t="shared" si="143"/>
        <v>2001/10/10 00:00:00</v>
      </c>
      <c r="M350" t="str">
        <f t="shared" si="149"/>
        <v>2018/08/11 13:34:16</v>
      </c>
      <c r="N350" t="str">
        <f>("2001")</f>
        <v>2001</v>
      </c>
      <c r="O350" t="str">
        <f t="shared" si="151"/>
        <v>4F西文書庫 4F Western Language Books</v>
      </c>
      <c r="P350" t="s">
        <v>64</v>
      </c>
      <c r="W350" t="str">
        <f t="shared" si="134"/>
        <v>美國國會圖書分類法</v>
      </c>
      <c r="Y350" t="str">
        <f>("HD30.22")</f>
        <v>HD30.22</v>
      </c>
      <c r="Z350" t="str">
        <f t="shared" si="150"/>
        <v>2018/08/11 13:34:16</v>
      </c>
      <c r="AA350" t="str">
        <f t="shared" si="144"/>
        <v>catc</v>
      </c>
      <c r="AC350" t="str">
        <f>("A193")</f>
        <v>A193</v>
      </c>
      <c r="AE350" t="str">
        <f t="shared" si="147"/>
        <v>c.1</v>
      </c>
      <c r="AF350" t="str">
        <f t="shared" si="152"/>
        <v>1.可借圖書</v>
      </c>
      <c r="AG350" t="str">
        <f t="shared" si="140"/>
        <v>在架</v>
      </c>
      <c r="AI350" t="s">
        <v>65</v>
      </c>
      <c r="AK350" t="str">
        <f t="shared" si="145"/>
        <v>一般(Normal)</v>
      </c>
      <c r="AO350" t="s">
        <v>65</v>
      </c>
      <c r="AS350" t="str">
        <f>("2001.")</f>
        <v>2001.</v>
      </c>
      <c r="AT350" t="str">
        <f t="shared" si="146"/>
        <v>catc</v>
      </c>
    </row>
    <row r="351" spans="1:46" x14ac:dyDescent="0.25">
      <c r="A351">
        <v>340</v>
      </c>
      <c r="B351" t="str">
        <f>("289247")</f>
        <v>289247</v>
      </c>
      <c r="C351" t="str">
        <f>("W00002376")</f>
        <v>W00002376</v>
      </c>
      <c r="D351" t="str">
        <f>("The Harvard Business School Guide to Careers in Finance 2001 Edition ")</f>
        <v xml:space="preserve">The Harvard Business School Guide to Careers in Finance 2001 Edition </v>
      </c>
      <c r="E351" t="str">
        <f>("Helen Lee")</f>
        <v>Helen Lee</v>
      </c>
      <c r="F351" t="str">
        <f>("Harvard Business School, ")</f>
        <v xml:space="preserve">Harvard Business School, </v>
      </c>
      <c r="H351" t="str">
        <f t="shared" si="148"/>
        <v>圖書 book</v>
      </c>
      <c r="I351" t="str">
        <f>("HF5548 H474 2000")</f>
        <v>HF5548 H474 2000</v>
      </c>
      <c r="J351" t="str">
        <f>("1578513243")</f>
        <v>1578513243</v>
      </c>
      <c r="K351" t="str">
        <f>("740")</f>
        <v>740</v>
      </c>
      <c r="L351" t="str">
        <f t="shared" si="143"/>
        <v>2001/10/10 00:00:00</v>
      </c>
      <c r="M351" t="str">
        <f t="shared" si="149"/>
        <v>2018/08/11 13:34:16</v>
      </c>
      <c r="N351" t="str">
        <f>("2000")</f>
        <v>2000</v>
      </c>
      <c r="O351" t="str">
        <f t="shared" si="151"/>
        <v>4F西文書庫 4F Western Language Books</v>
      </c>
      <c r="P351" t="s">
        <v>64</v>
      </c>
      <c r="W351" t="str">
        <f t="shared" si="134"/>
        <v>美國國會圖書分類法</v>
      </c>
      <c r="Y351" t="str">
        <f>("HF5548")</f>
        <v>HF5548</v>
      </c>
      <c r="Z351" t="str">
        <f t="shared" si="150"/>
        <v>2018/08/11 13:34:16</v>
      </c>
      <c r="AA351" t="str">
        <f t="shared" si="144"/>
        <v>catc</v>
      </c>
      <c r="AC351" t="str">
        <f>("H474")</f>
        <v>H474</v>
      </c>
      <c r="AE351" t="str">
        <f t="shared" si="147"/>
        <v>c.1</v>
      </c>
      <c r="AF351" t="str">
        <f t="shared" si="152"/>
        <v>1.可借圖書</v>
      </c>
      <c r="AG351" t="str">
        <f t="shared" si="140"/>
        <v>在架</v>
      </c>
      <c r="AI351" t="s">
        <v>65</v>
      </c>
      <c r="AK351" t="str">
        <f t="shared" si="145"/>
        <v>一般(Normal)</v>
      </c>
      <c r="AO351" t="s">
        <v>65</v>
      </c>
      <c r="AS351" t="str">
        <f>("2000.")</f>
        <v>2000.</v>
      </c>
      <c r="AT351" t="str">
        <f t="shared" si="146"/>
        <v>catc</v>
      </c>
    </row>
    <row r="352" spans="1:46" x14ac:dyDescent="0.25">
      <c r="A352">
        <v>341</v>
      </c>
      <c r="B352" t="str">
        <f>("289248")</f>
        <v>289248</v>
      </c>
      <c r="C352" t="str">
        <f>("W00002377")</f>
        <v>W00002377</v>
      </c>
      <c r="D352" t="str">
        <f>("Secrets of power negotiating : inside secrets from a master negotiator / ")</f>
        <v xml:space="preserve">Secrets of power negotiating : inside secrets from a master negotiator / </v>
      </c>
      <c r="E352" t="str">
        <f>("Dawson, Roger, 1940- ")</f>
        <v xml:space="preserve">Dawson, Roger, 1940- </v>
      </c>
      <c r="F352" t="str">
        <f>("Career Press, ")</f>
        <v xml:space="preserve">Career Press, </v>
      </c>
      <c r="G352" t="str">
        <f>("2nd ed. ")</f>
        <v xml:space="preserve">2nd ed. </v>
      </c>
      <c r="H352" t="str">
        <f t="shared" si="148"/>
        <v>圖書 book</v>
      </c>
      <c r="I352" t="str">
        <f>("HD58.6 D272 1999")</f>
        <v>HD58.6 D272 1999</v>
      </c>
      <c r="J352" t="str">
        <f>("1564143996")</f>
        <v>1564143996</v>
      </c>
      <c r="K352" t="str">
        <f>("740")</f>
        <v>740</v>
      </c>
      <c r="L352" t="str">
        <f t="shared" si="143"/>
        <v>2001/10/10 00:00:00</v>
      </c>
      <c r="M352" t="str">
        <f t="shared" si="149"/>
        <v>2018/08/11 13:34:16</v>
      </c>
      <c r="N352" t="str">
        <f>("1999")</f>
        <v>1999</v>
      </c>
      <c r="O352" t="str">
        <f t="shared" si="151"/>
        <v>4F西文書庫 4F Western Language Books</v>
      </c>
      <c r="P352" t="s">
        <v>64</v>
      </c>
      <c r="W352" t="str">
        <f t="shared" si="134"/>
        <v>美國國會圖書分類法</v>
      </c>
      <c r="Y352" t="str">
        <f>("HD58.6")</f>
        <v>HD58.6</v>
      </c>
      <c r="Z352" t="str">
        <f t="shared" si="150"/>
        <v>2018/08/11 13:34:16</v>
      </c>
      <c r="AA352" t="str">
        <f t="shared" si="144"/>
        <v>catc</v>
      </c>
      <c r="AC352" t="str">
        <f>("D272")</f>
        <v>D272</v>
      </c>
      <c r="AE352" t="str">
        <f t="shared" si="147"/>
        <v>c.1</v>
      </c>
      <c r="AF352" t="str">
        <f t="shared" si="152"/>
        <v>1.可借圖書</v>
      </c>
      <c r="AG352" t="str">
        <f t="shared" si="140"/>
        <v>在架</v>
      </c>
      <c r="AI352" t="s">
        <v>65</v>
      </c>
      <c r="AK352" t="str">
        <f t="shared" si="145"/>
        <v>一般(Normal)</v>
      </c>
      <c r="AO352" t="s">
        <v>65</v>
      </c>
      <c r="AS352" t="str">
        <f>("c1999. ")</f>
        <v xml:space="preserve">c1999. </v>
      </c>
      <c r="AT352" t="str">
        <f t="shared" si="146"/>
        <v>catc</v>
      </c>
    </row>
    <row r="353" spans="1:46" x14ac:dyDescent="0.25">
      <c r="A353">
        <v>342</v>
      </c>
      <c r="B353" t="str">
        <f>("310753")</f>
        <v>310753</v>
      </c>
      <c r="C353" t="str">
        <f>("W00002378")</f>
        <v>W00002378</v>
      </c>
      <c r="D353" t="str">
        <f>("Harry Potter and the philosopher's stone /")</f>
        <v>Harry Potter and the philosopher's stone /</v>
      </c>
      <c r="E353" t="str">
        <f>("Rowling, J. K. ")</f>
        <v xml:space="preserve">Rowling, J. K. </v>
      </c>
      <c r="F353" t="str">
        <f>("Bloomsbury,")</f>
        <v>Bloomsbury,</v>
      </c>
      <c r="H353" t="str">
        <f t="shared" si="148"/>
        <v>圖書 book</v>
      </c>
      <c r="I353" t="str">
        <f>("PZ7.R79835 R884-4 2000 c.3")</f>
        <v>PZ7.R79835 R884-4 2000 c.3</v>
      </c>
      <c r="J353" t="str">
        <f>("0747549559;0747532745")</f>
        <v>0747549559;0747532745</v>
      </c>
      <c r="K353" t="str">
        <f>("320")</f>
        <v>320</v>
      </c>
      <c r="L353" t="str">
        <f t="shared" si="143"/>
        <v>2001/10/10 00:00:00</v>
      </c>
      <c r="M353" t="str">
        <f>("2018/08/11 14:30:51")</f>
        <v>2018/08/11 14:30:51</v>
      </c>
      <c r="N353" t="str">
        <f>("2000")</f>
        <v>2000</v>
      </c>
      <c r="O353" t="str">
        <f>("2F百大好書專區 2F Top 100 Books")</f>
        <v>2F百大好書專區 2F Top 100 Books</v>
      </c>
      <c r="P353" t="s">
        <v>64</v>
      </c>
      <c r="W353" t="str">
        <f t="shared" si="134"/>
        <v>美國國會圖書分類法</v>
      </c>
      <c r="Y353" t="str">
        <f>("PZ7.R79835")</f>
        <v>PZ7.R79835</v>
      </c>
      <c r="Z353" t="str">
        <f>("2018/08/11 14:30:51")</f>
        <v>2018/08/11 14:30:51</v>
      </c>
      <c r="AA353" t="str">
        <f t="shared" si="144"/>
        <v>catc</v>
      </c>
      <c r="AC353" t="str">
        <f>("R884-4")</f>
        <v>R884-4</v>
      </c>
      <c r="AE353" t="str">
        <f>("c.3")</f>
        <v>c.3</v>
      </c>
      <c r="AF353" t="str">
        <f t="shared" si="152"/>
        <v>1.可借圖書</v>
      </c>
      <c r="AI353" t="s">
        <v>65</v>
      </c>
      <c r="AK353" t="str">
        <f t="shared" si="145"/>
        <v>一般(Normal)</v>
      </c>
      <c r="AO353" t="s">
        <v>65</v>
      </c>
      <c r="AS353" t="str">
        <f>("2000. ")</f>
        <v xml:space="preserve">2000. </v>
      </c>
      <c r="AT353" t="str">
        <f t="shared" si="146"/>
        <v>catc</v>
      </c>
    </row>
    <row r="354" spans="1:46" x14ac:dyDescent="0.25">
      <c r="A354">
        <v>343</v>
      </c>
      <c r="B354" t="str">
        <f>("289249")</f>
        <v>289249</v>
      </c>
      <c r="C354" t="str">
        <f>("W00002379")</f>
        <v>W00002379</v>
      </c>
      <c r="D354" t="str">
        <f>("Online business planning : how to create a better business plan using the Internet, including a complete, up-to-date resource guide / ")</f>
        <v xml:space="preserve">Online business planning : how to create a better business plan using the Internet, including a complete, up-to-date resource guide / </v>
      </c>
      <c r="E354" t="str">
        <f>("Gorman, Robert T. ")</f>
        <v xml:space="preserve">Gorman, Robert T. </v>
      </c>
      <c r="F354" t="str">
        <f>("Career Press, ")</f>
        <v xml:space="preserve">Career Press, </v>
      </c>
      <c r="H354" t="str">
        <f t="shared" si="148"/>
        <v>圖書 book</v>
      </c>
      <c r="I354" t="str">
        <f>("HD30.28 G671 1999")</f>
        <v>HD30.28 G671 1999</v>
      </c>
      <c r="J354" t="str">
        <f>("1564143694")</f>
        <v>1564143694</v>
      </c>
      <c r="K354" t="str">
        <f>("532")</f>
        <v>532</v>
      </c>
      <c r="L354" t="str">
        <f t="shared" si="143"/>
        <v>2001/10/10 00:00:00</v>
      </c>
      <c r="M354" t="str">
        <f>("2018/08/11 13:34:17")</f>
        <v>2018/08/11 13:34:17</v>
      </c>
      <c r="N354" t="str">
        <f>("1999")</f>
        <v>1999</v>
      </c>
      <c r="O354" t="str">
        <f t="shared" ref="O354:O385" si="153">("4F西文書庫 4F Western Language Books")</f>
        <v>4F西文書庫 4F Western Language Books</v>
      </c>
      <c r="P354" t="s">
        <v>64</v>
      </c>
      <c r="W354" t="str">
        <f t="shared" si="134"/>
        <v>美國國會圖書分類法</v>
      </c>
      <c r="Y354" t="str">
        <f>("HD30.28")</f>
        <v>HD30.28</v>
      </c>
      <c r="Z354" t="str">
        <f>("2018/08/11 13:34:16")</f>
        <v>2018/08/11 13:34:16</v>
      </c>
      <c r="AA354" t="str">
        <f t="shared" si="144"/>
        <v>catc</v>
      </c>
      <c r="AC354" t="str">
        <f>("G671")</f>
        <v>G671</v>
      </c>
      <c r="AE354" t="str">
        <f t="shared" ref="AE354:AE385" si="154">("c.1")</f>
        <v>c.1</v>
      </c>
      <c r="AF354" t="str">
        <f t="shared" si="152"/>
        <v>1.可借圖書</v>
      </c>
      <c r="AG354" t="str">
        <f t="shared" ref="AG354:AG385" si="155">("在架")</f>
        <v>在架</v>
      </c>
      <c r="AI354" t="s">
        <v>65</v>
      </c>
      <c r="AK354" t="str">
        <f t="shared" si="145"/>
        <v>一般(Normal)</v>
      </c>
      <c r="AO354" t="s">
        <v>65</v>
      </c>
      <c r="AS354" t="str">
        <f>("c1999. ")</f>
        <v xml:space="preserve">c1999. </v>
      </c>
      <c r="AT354" t="str">
        <f t="shared" si="146"/>
        <v>catc</v>
      </c>
    </row>
    <row r="355" spans="1:46" x14ac:dyDescent="0.25">
      <c r="A355">
        <v>344</v>
      </c>
      <c r="B355" t="str">
        <f>("289262")</f>
        <v>289262</v>
      </c>
      <c r="C355" t="str">
        <f>("W00002380")</f>
        <v>W00002380</v>
      </c>
      <c r="D355" t="str">
        <f>("1,001 ways to get promoted / ")</f>
        <v xml:space="preserve">1,001 ways to get promoted / </v>
      </c>
      <c r="E355" t="str">
        <f>("Rye, David E. ")</f>
        <v xml:space="preserve">Rye, David E. </v>
      </c>
      <c r="F355" t="str">
        <f>("Career Press, ")</f>
        <v xml:space="preserve">Career Press, </v>
      </c>
      <c r="H355" t="str">
        <f t="shared" si="148"/>
        <v>圖書 book</v>
      </c>
      <c r="I355" t="str">
        <f>("HF5381 R993 2000")</f>
        <v>HF5381 R993 2000</v>
      </c>
      <c r="J355" t="str">
        <f>("1564144305")</f>
        <v>1564144305</v>
      </c>
      <c r="K355" t="str">
        <f>("476")</f>
        <v>476</v>
      </c>
      <c r="L355" t="str">
        <f t="shared" si="143"/>
        <v>2001/10/10 00:00:00</v>
      </c>
      <c r="M355" t="str">
        <f>("2018/08/11 13:34:17")</f>
        <v>2018/08/11 13:34:17</v>
      </c>
      <c r="N355" t="str">
        <f>("2000")</f>
        <v>2000</v>
      </c>
      <c r="O355" t="str">
        <f t="shared" si="153"/>
        <v>4F西文書庫 4F Western Language Books</v>
      </c>
      <c r="P355" t="s">
        <v>64</v>
      </c>
      <c r="W355" t="str">
        <f t="shared" si="134"/>
        <v>美國國會圖書分類法</v>
      </c>
      <c r="Y355" t="str">
        <f>("HF5381")</f>
        <v>HF5381</v>
      </c>
      <c r="Z355" t="str">
        <f>("2018/08/11 13:34:17")</f>
        <v>2018/08/11 13:34:17</v>
      </c>
      <c r="AA355" t="str">
        <f t="shared" si="144"/>
        <v>catc</v>
      </c>
      <c r="AC355" t="str">
        <f>("R993")</f>
        <v>R993</v>
      </c>
      <c r="AE355" t="str">
        <f t="shared" si="154"/>
        <v>c.1</v>
      </c>
      <c r="AF355" t="str">
        <f t="shared" si="152"/>
        <v>1.可借圖書</v>
      </c>
      <c r="AG355" t="str">
        <f t="shared" si="155"/>
        <v>在架</v>
      </c>
      <c r="AI355" t="s">
        <v>65</v>
      </c>
      <c r="AK355" t="str">
        <f t="shared" si="145"/>
        <v>一般(Normal)</v>
      </c>
      <c r="AO355" t="s">
        <v>65</v>
      </c>
      <c r="AS355" t="str">
        <f>("2000. ")</f>
        <v xml:space="preserve">2000. </v>
      </c>
      <c r="AT355" t="str">
        <f t="shared" si="146"/>
        <v>catc</v>
      </c>
    </row>
    <row r="356" spans="1:46" x14ac:dyDescent="0.25">
      <c r="A356">
        <v>345</v>
      </c>
      <c r="B356" t="str">
        <f>("289250")</f>
        <v>289250</v>
      </c>
      <c r="C356" t="str">
        <f>("W00002381")</f>
        <v>W00002381</v>
      </c>
      <c r="D356" t="str">
        <f>("How to supervise people : techniques for getting results through others / ")</f>
        <v xml:space="preserve">How to supervise people : techniques for getting results through others / </v>
      </c>
      <c r="E356" t="str">
        <f>("Ladew, Donald P. ")</f>
        <v xml:space="preserve">Ladew, Donald P. </v>
      </c>
      <c r="F356" t="str">
        <f>("Career Press, ")</f>
        <v xml:space="preserve">Career Press, </v>
      </c>
      <c r="H356" t="str">
        <f t="shared" si="148"/>
        <v>圖書 book</v>
      </c>
      <c r="I356" t="str">
        <f>("HF5549.1 L153 1998")</f>
        <v>HF5549.1 L153 1998</v>
      </c>
      <c r="J356" t="str">
        <f>("1564143635")</f>
        <v>1564143635</v>
      </c>
      <c r="K356" t="str">
        <f>("328")</f>
        <v>328</v>
      </c>
      <c r="L356" t="str">
        <f t="shared" si="143"/>
        <v>2001/10/10 00:00:00</v>
      </c>
      <c r="M356" t="str">
        <f>("2018/08/11 13:34:17")</f>
        <v>2018/08/11 13:34:17</v>
      </c>
      <c r="N356" t="str">
        <f>("1998")</f>
        <v>1998</v>
      </c>
      <c r="O356" t="str">
        <f t="shared" si="153"/>
        <v>4F西文書庫 4F Western Language Books</v>
      </c>
      <c r="P356" t="s">
        <v>64</v>
      </c>
      <c r="W356" t="str">
        <f t="shared" si="134"/>
        <v>美國國會圖書分類法</v>
      </c>
      <c r="Y356" t="str">
        <f>("HF5549.1")</f>
        <v>HF5549.1</v>
      </c>
      <c r="Z356" t="str">
        <f>("2018/08/11 13:34:17")</f>
        <v>2018/08/11 13:34:17</v>
      </c>
      <c r="AA356" t="str">
        <f t="shared" si="144"/>
        <v>catc</v>
      </c>
      <c r="AC356" t="str">
        <f>("L153")</f>
        <v>L153</v>
      </c>
      <c r="AE356" t="str">
        <f t="shared" si="154"/>
        <v>c.1</v>
      </c>
      <c r="AF356" t="str">
        <f t="shared" si="152"/>
        <v>1.可借圖書</v>
      </c>
      <c r="AG356" t="str">
        <f t="shared" si="155"/>
        <v>在架</v>
      </c>
      <c r="AI356" t="s">
        <v>65</v>
      </c>
      <c r="AK356" t="str">
        <f t="shared" si="145"/>
        <v>一般(Normal)</v>
      </c>
      <c r="AO356" t="s">
        <v>65</v>
      </c>
      <c r="AS356" t="str">
        <f>("c1998. ")</f>
        <v xml:space="preserve">c1998. </v>
      </c>
      <c r="AT356" t="str">
        <f t="shared" si="146"/>
        <v>catc</v>
      </c>
    </row>
    <row r="357" spans="1:46" x14ac:dyDescent="0.25">
      <c r="A357">
        <v>346</v>
      </c>
      <c r="B357" t="str">
        <f>("289251")</f>
        <v>289251</v>
      </c>
      <c r="C357" t="str">
        <f>("W00002382")</f>
        <v>W00002382</v>
      </c>
      <c r="D357" t="str">
        <f>("Innovation strategy for the knowledge economy : the ken awakening / ")</f>
        <v xml:space="preserve">Innovation strategy for the knowledge economy : the ken awakening / </v>
      </c>
      <c r="E357" t="str">
        <f>("")</f>
        <v/>
      </c>
      <c r="F357" t="str">
        <f>("Butterworth-Heinemann, ")</f>
        <v xml:space="preserve">Butterworth-Heinemann, </v>
      </c>
      <c r="H357" t="str">
        <f t="shared" si="148"/>
        <v>圖書 book</v>
      </c>
      <c r="I357" t="str">
        <f>("HD53 A516 1997")</f>
        <v>HD53 A516 1997</v>
      </c>
      <c r="J357" t="str">
        <f>("0750698411")</f>
        <v>0750698411</v>
      </c>
      <c r="K357" t="str">
        <f>("660")</f>
        <v>660</v>
      </c>
      <c r="L357" t="str">
        <f t="shared" si="143"/>
        <v>2001/10/10 00:00:00</v>
      </c>
      <c r="M357" t="str">
        <f>("2018/08/11 13:34:17")</f>
        <v>2018/08/11 13:34:17</v>
      </c>
      <c r="N357" t="str">
        <f>("1997")</f>
        <v>1997</v>
      </c>
      <c r="O357" t="str">
        <f t="shared" si="153"/>
        <v>4F西文書庫 4F Western Language Books</v>
      </c>
      <c r="P357" t="s">
        <v>64</v>
      </c>
      <c r="W357" t="str">
        <f t="shared" si="134"/>
        <v>美國國會圖書分類法</v>
      </c>
      <c r="Y357" t="str">
        <f>("HD53")</f>
        <v>HD53</v>
      </c>
      <c r="Z357" t="str">
        <f>("2018/08/11 13:34:17")</f>
        <v>2018/08/11 13:34:17</v>
      </c>
      <c r="AA357" t="str">
        <f t="shared" si="144"/>
        <v>catc</v>
      </c>
      <c r="AC357" t="str">
        <f>("A516")</f>
        <v>A516</v>
      </c>
      <c r="AE357" t="str">
        <f t="shared" si="154"/>
        <v>c.1</v>
      </c>
      <c r="AF357" t="str">
        <f t="shared" si="152"/>
        <v>1.可借圖書</v>
      </c>
      <c r="AG357" t="str">
        <f t="shared" si="155"/>
        <v>在架</v>
      </c>
      <c r="AI357" t="s">
        <v>65</v>
      </c>
      <c r="AK357" t="str">
        <f t="shared" si="145"/>
        <v>一般(Normal)</v>
      </c>
      <c r="AO357" t="s">
        <v>65</v>
      </c>
      <c r="AS357" t="str">
        <f>("c1997. ")</f>
        <v xml:space="preserve">c1997. </v>
      </c>
      <c r="AT357" t="str">
        <f t="shared" si="146"/>
        <v>catc</v>
      </c>
    </row>
    <row r="358" spans="1:46" x14ac:dyDescent="0.25">
      <c r="A358">
        <v>347</v>
      </c>
      <c r="B358" t="str">
        <f>("288579")</f>
        <v>288579</v>
      </c>
      <c r="C358" t="str">
        <f>("W00002383")</f>
        <v>W00002383</v>
      </c>
      <c r="D358" t="str">
        <f>("Harvard business review on crisis management. ")</f>
        <v xml:space="preserve">Harvard business review on crisis management. </v>
      </c>
      <c r="E358" t="str">
        <f>("")</f>
        <v/>
      </c>
      <c r="F358" t="str">
        <f>("Harvard Business School Press, ")</f>
        <v xml:space="preserve">Harvard Business School Press, </v>
      </c>
      <c r="H358" t="str">
        <f t="shared" si="148"/>
        <v>圖書 book</v>
      </c>
      <c r="I358" t="str">
        <f>("HD49 H341 2000")</f>
        <v>HD49 H341 2000</v>
      </c>
      <c r="J358" t="str">
        <f>("1578512352")</f>
        <v>1578512352</v>
      </c>
      <c r="K358" t="str">
        <f>("576")</f>
        <v>576</v>
      </c>
      <c r="L358" t="str">
        <f t="shared" si="143"/>
        <v>2001/10/10 00:00:00</v>
      </c>
      <c r="M358" t="str">
        <f>("2018/08/11 13:33:13")</f>
        <v>2018/08/11 13:33:13</v>
      </c>
      <c r="N358" t="str">
        <f>("2000")</f>
        <v>2000</v>
      </c>
      <c r="O358" t="str">
        <f t="shared" si="153"/>
        <v>4F西文書庫 4F Western Language Books</v>
      </c>
      <c r="P358" t="s">
        <v>64</v>
      </c>
      <c r="S358" t="str">
        <f>("v, 252 p. : ")</f>
        <v xml:space="preserve">v, 252 p. : </v>
      </c>
      <c r="T358" t="str">
        <f>("ill. ; ")</f>
        <v xml:space="preserve">ill. ; </v>
      </c>
      <c r="U358" t="str">
        <f>("21 cm. ")</f>
        <v xml:space="preserve">21 cm. </v>
      </c>
      <c r="W358" t="str">
        <f t="shared" si="134"/>
        <v>美國國會圖書分類法</v>
      </c>
      <c r="Y358" t="str">
        <f>("HD49")</f>
        <v>HD49</v>
      </c>
      <c r="Z358" t="str">
        <f>("2018/08/11 13:33:13")</f>
        <v>2018/08/11 13:33:13</v>
      </c>
      <c r="AA358" t="str">
        <f t="shared" si="144"/>
        <v>catc</v>
      </c>
      <c r="AC358" t="str">
        <f>("H341")</f>
        <v>H341</v>
      </c>
      <c r="AE358" t="str">
        <f t="shared" si="154"/>
        <v>c.1</v>
      </c>
      <c r="AF358" t="str">
        <f t="shared" si="152"/>
        <v>1.可借圖書</v>
      </c>
      <c r="AG358" t="str">
        <f t="shared" si="155"/>
        <v>在架</v>
      </c>
      <c r="AI358" t="s">
        <v>65</v>
      </c>
      <c r="AK358" t="str">
        <f t="shared" si="145"/>
        <v>一般(Normal)</v>
      </c>
      <c r="AO358" t="s">
        <v>65</v>
      </c>
      <c r="AS358" t="str">
        <f>("c2000. ")</f>
        <v xml:space="preserve">c2000. </v>
      </c>
      <c r="AT358" t="str">
        <f t="shared" si="146"/>
        <v>catc</v>
      </c>
    </row>
    <row r="359" spans="1:46" x14ac:dyDescent="0.25">
      <c r="A359">
        <v>348</v>
      </c>
      <c r="B359" t="str">
        <f>("289252")</f>
        <v>289252</v>
      </c>
      <c r="C359" t="str">
        <f>("W00002384")</f>
        <v>W00002384</v>
      </c>
      <c r="D359" t="str">
        <f>("Paul Wilmott introduces quantitative finance. ")</f>
        <v xml:space="preserve">Paul Wilmott introduces quantitative finance. </v>
      </c>
      <c r="E359" t="str">
        <f>("Wilmott, Paul. ")</f>
        <v xml:space="preserve">Wilmott, Paul. </v>
      </c>
      <c r="F359" t="str">
        <f>("John Wiley, ")</f>
        <v xml:space="preserve">John Wiley, </v>
      </c>
      <c r="H359" t="str">
        <f t="shared" si="148"/>
        <v>圖書 book</v>
      </c>
      <c r="I359" t="str">
        <f>("HG173 W177 2001")</f>
        <v>HG173 W177 2001</v>
      </c>
      <c r="J359" t="str">
        <f>("0471498629")</f>
        <v>0471498629</v>
      </c>
      <c r="K359" t="str">
        <f>("1212")</f>
        <v>1212</v>
      </c>
      <c r="L359" t="str">
        <f t="shared" si="143"/>
        <v>2001/10/10 00:00:00</v>
      </c>
      <c r="M359" t="str">
        <f t="shared" ref="M359:M365" si="156">("2018/08/11 13:34:17")</f>
        <v>2018/08/11 13:34:17</v>
      </c>
      <c r="N359" t="str">
        <f>("2001")</f>
        <v>2001</v>
      </c>
      <c r="O359" t="str">
        <f t="shared" si="153"/>
        <v>4F西文書庫 4F Western Language Books</v>
      </c>
      <c r="P359" t="s">
        <v>64</v>
      </c>
      <c r="W359" t="str">
        <f t="shared" si="134"/>
        <v>美國國會圖書分類法</v>
      </c>
      <c r="Y359" t="str">
        <f>("HG173")</f>
        <v>HG173</v>
      </c>
      <c r="Z359" t="str">
        <f t="shared" ref="Z359:Z365" si="157">("2018/08/11 13:34:17")</f>
        <v>2018/08/11 13:34:17</v>
      </c>
      <c r="AA359" t="str">
        <f t="shared" si="144"/>
        <v>catc</v>
      </c>
      <c r="AC359" t="str">
        <f>("W177")</f>
        <v>W177</v>
      </c>
      <c r="AE359" t="str">
        <f t="shared" si="154"/>
        <v>c.1</v>
      </c>
      <c r="AF359" t="str">
        <f t="shared" si="152"/>
        <v>1.可借圖書</v>
      </c>
      <c r="AG359" t="str">
        <f t="shared" si="155"/>
        <v>在架</v>
      </c>
      <c r="AI359" t="s">
        <v>65</v>
      </c>
      <c r="AK359" t="str">
        <f t="shared" si="145"/>
        <v>一般(Normal)</v>
      </c>
      <c r="AO359" t="s">
        <v>65</v>
      </c>
      <c r="AS359" t="str">
        <f>("2001. ")</f>
        <v xml:space="preserve">2001. </v>
      </c>
      <c r="AT359" t="str">
        <f t="shared" si="146"/>
        <v>catc</v>
      </c>
    </row>
    <row r="360" spans="1:46" x14ac:dyDescent="0.25">
      <c r="A360">
        <v>349</v>
      </c>
      <c r="B360" t="str">
        <f>("289253")</f>
        <v>289253</v>
      </c>
      <c r="C360" t="str">
        <f>("W00002385")</f>
        <v>W00002385</v>
      </c>
      <c r="D360" t="str">
        <f>("The Management and ehics omnibus ")</f>
        <v xml:space="preserve">The Management and ehics omnibus </v>
      </c>
      <c r="E360" t="str">
        <f>("Chakraborty S.K.")</f>
        <v>Chakraborty S.K.</v>
      </c>
      <c r="F360" t="str">
        <f>("OXFORD, ")</f>
        <v xml:space="preserve">OXFORD, </v>
      </c>
      <c r="H360" t="str">
        <f t="shared" si="148"/>
        <v>圖書 book</v>
      </c>
      <c r="I360" t="str">
        <f>("HD31 C427 2001")</f>
        <v>HD31 C427 2001</v>
      </c>
      <c r="J360" t="str">
        <f>("0195656237")</f>
        <v>0195656237</v>
      </c>
      <c r="K360" t="str">
        <f>("968")</f>
        <v>968</v>
      </c>
      <c r="L360" t="str">
        <f t="shared" si="143"/>
        <v>2001/10/10 00:00:00</v>
      </c>
      <c r="M360" t="str">
        <f t="shared" si="156"/>
        <v>2018/08/11 13:34:17</v>
      </c>
      <c r="N360" t="str">
        <f>("2001")</f>
        <v>2001</v>
      </c>
      <c r="O360" t="str">
        <f t="shared" si="153"/>
        <v>4F西文書庫 4F Western Language Books</v>
      </c>
      <c r="P360" t="s">
        <v>64</v>
      </c>
      <c r="W360" t="str">
        <f t="shared" si="134"/>
        <v>美國國會圖書分類法</v>
      </c>
      <c r="Y360" t="str">
        <f>("HD31")</f>
        <v>HD31</v>
      </c>
      <c r="Z360" t="str">
        <f t="shared" si="157"/>
        <v>2018/08/11 13:34:17</v>
      </c>
      <c r="AA360" t="str">
        <f t="shared" si="144"/>
        <v>catc</v>
      </c>
      <c r="AC360" t="str">
        <f>("C427")</f>
        <v>C427</v>
      </c>
      <c r="AE360" t="str">
        <f t="shared" si="154"/>
        <v>c.1</v>
      </c>
      <c r="AF360" t="str">
        <f t="shared" si="152"/>
        <v>1.可借圖書</v>
      </c>
      <c r="AG360" t="str">
        <f t="shared" si="155"/>
        <v>在架</v>
      </c>
      <c r="AI360" t="s">
        <v>65</v>
      </c>
      <c r="AK360" t="str">
        <f t="shared" si="145"/>
        <v>一般(Normal)</v>
      </c>
      <c r="AO360" t="s">
        <v>65</v>
      </c>
      <c r="AS360" t="str">
        <f>("2001.")</f>
        <v>2001.</v>
      </c>
      <c r="AT360" t="str">
        <f t="shared" si="146"/>
        <v>catc</v>
      </c>
    </row>
    <row r="361" spans="1:46" x14ac:dyDescent="0.25">
      <c r="A361">
        <v>350</v>
      </c>
      <c r="B361" t="str">
        <f>("289254")</f>
        <v>289254</v>
      </c>
      <c r="C361" t="str">
        <f>("W00002386")</f>
        <v>W00002386</v>
      </c>
      <c r="D361" t="str">
        <f>("1,001 ways to inspire : your organization, your team, and yourself / ")</f>
        <v xml:space="preserve">1,001 ways to inspire : your organization, your team, and yourself / </v>
      </c>
      <c r="E361" t="str">
        <f>("Rye, David E. ")</f>
        <v xml:space="preserve">Rye, David E. </v>
      </c>
      <c r="F361" t="str">
        <f>("Career Press, ")</f>
        <v xml:space="preserve">Career Press, </v>
      </c>
      <c r="H361" t="str">
        <f t="shared" si="148"/>
        <v>圖書 book</v>
      </c>
      <c r="I361" t="str">
        <f>("HF5549.5 R993 1998")</f>
        <v>HF5549.5 R993 1998</v>
      </c>
      <c r="J361" t="str">
        <f>("1564143481")</f>
        <v>1564143481</v>
      </c>
      <c r="K361" t="str">
        <f>("476")</f>
        <v>476</v>
      </c>
      <c r="L361" t="str">
        <f t="shared" si="143"/>
        <v>2001/10/10 00:00:00</v>
      </c>
      <c r="M361" t="str">
        <f t="shared" si="156"/>
        <v>2018/08/11 13:34:17</v>
      </c>
      <c r="N361" t="str">
        <f>("1998")</f>
        <v>1998</v>
      </c>
      <c r="O361" t="str">
        <f t="shared" si="153"/>
        <v>4F西文書庫 4F Western Language Books</v>
      </c>
      <c r="P361" t="s">
        <v>64</v>
      </c>
      <c r="W361" t="str">
        <f t="shared" si="134"/>
        <v>美國國會圖書分類法</v>
      </c>
      <c r="Y361" t="str">
        <f>("HF5549.5")</f>
        <v>HF5549.5</v>
      </c>
      <c r="Z361" t="str">
        <f t="shared" si="157"/>
        <v>2018/08/11 13:34:17</v>
      </c>
      <c r="AA361" t="str">
        <f t="shared" si="144"/>
        <v>catc</v>
      </c>
      <c r="AC361" t="str">
        <f>("R993")</f>
        <v>R993</v>
      </c>
      <c r="AE361" t="str">
        <f t="shared" si="154"/>
        <v>c.1</v>
      </c>
      <c r="AF361" t="str">
        <f t="shared" si="152"/>
        <v>1.可借圖書</v>
      </c>
      <c r="AG361" t="str">
        <f t="shared" si="155"/>
        <v>在架</v>
      </c>
      <c r="AI361" t="s">
        <v>65</v>
      </c>
      <c r="AK361" t="str">
        <f t="shared" si="145"/>
        <v>一般(Normal)</v>
      </c>
      <c r="AO361" t="s">
        <v>65</v>
      </c>
      <c r="AS361" t="str">
        <f>("c1998. ")</f>
        <v xml:space="preserve">c1998. </v>
      </c>
      <c r="AT361" t="str">
        <f t="shared" si="146"/>
        <v>catc</v>
      </c>
    </row>
    <row r="362" spans="1:46" x14ac:dyDescent="0.25">
      <c r="A362">
        <v>351</v>
      </c>
      <c r="B362" t="str">
        <f>("289255")</f>
        <v>289255</v>
      </c>
      <c r="C362" t="str">
        <f>("W00002387")</f>
        <v>W00002387</v>
      </c>
      <c r="D362" t="str">
        <f>("Last minute college financing : it's never too late to plan for the future / ")</f>
        <v xml:space="preserve">Last minute college financing : it's never too late to plan for the future / </v>
      </c>
      <c r="E362" t="str">
        <f>("Cassidy, Daniel J., 1956- ")</f>
        <v xml:space="preserve">Cassidy, Daniel J., 1956- </v>
      </c>
      <c r="F362" t="str">
        <f>("Career Press, ")</f>
        <v xml:space="preserve">Career Press, </v>
      </c>
      <c r="H362" t="str">
        <f t="shared" si="148"/>
        <v>圖書 book</v>
      </c>
      <c r="I362" t="str">
        <f>("LB2337.4 C345 2000")</f>
        <v>LB2337.4 C345 2000</v>
      </c>
      <c r="J362" t="str">
        <f>("1564144682")</f>
        <v>1564144682</v>
      </c>
      <c r="K362" t="str">
        <f>("328")</f>
        <v>328</v>
      </c>
      <c r="L362" t="str">
        <f t="shared" si="143"/>
        <v>2001/10/10 00:00:00</v>
      </c>
      <c r="M362" t="str">
        <f t="shared" si="156"/>
        <v>2018/08/11 13:34:17</v>
      </c>
      <c r="N362" t="str">
        <f>("2000")</f>
        <v>2000</v>
      </c>
      <c r="O362" t="str">
        <f t="shared" si="153"/>
        <v>4F西文書庫 4F Western Language Books</v>
      </c>
      <c r="P362" t="s">
        <v>64</v>
      </c>
      <c r="W362" t="str">
        <f t="shared" si="134"/>
        <v>美國國會圖書分類法</v>
      </c>
      <c r="Y362" t="str">
        <f>("LB2337.4")</f>
        <v>LB2337.4</v>
      </c>
      <c r="Z362" t="str">
        <f t="shared" si="157"/>
        <v>2018/08/11 13:34:17</v>
      </c>
      <c r="AA362" t="str">
        <f t="shared" si="144"/>
        <v>catc</v>
      </c>
      <c r="AC362" t="str">
        <f>("C345")</f>
        <v>C345</v>
      </c>
      <c r="AE362" t="str">
        <f t="shared" si="154"/>
        <v>c.1</v>
      </c>
      <c r="AF362" t="str">
        <f t="shared" si="152"/>
        <v>1.可借圖書</v>
      </c>
      <c r="AG362" t="str">
        <f t="shared" si="155"/>
        <v>在架</v>
      </c>
      <c r="AI362" t="s">
        <v>65</v>
      </c>
      <c r="AK362" t="str">
        <f t="shared" si="145"/>
        <v>一般(Normal)</v>
      </c>
      <c r="AO362" t="s">
        <v>65</v>
      </c>
      <c r="AS362" t="str">
        <f>("c2000. ")</f>
        <v xml:space="preserve">c2000. </v>
      </c>
      <c r="AT362" t="str">
        <f t="shared" si="146"/>
        <v>catc</v>
      </c>
    </row>
    <row r="363" spans="1:46" x14ac:dyDescent="0.25">
      <c r="A363">
        <v>352</v>
      </c>
      <c r="B363" t="str">
        <f>("289256")</f>
        <v>289256</v>
      </c>
      <c r="C363" t="str">
        <f>("W00002388")</f>
        <v>W00002388</v>
      </c>
      <c r="D363" t="str">
        <f>("There are no limits :breaking the barriers in personal high performance /")</f>
        <v>There are no limits :breaking the barriers in personal high performance /</v>
      </c>
      <c r="E363" t="str">
        <f>("Cox, Danny,1934- ")</f>
        <v xml:space="preserve">Cox, Danny,1934- </v>
      </c>
      <c r="F363" t="str">
        <f>("Career Press,")</f>
        <v>Career Press,</v>
      </c>
      <c r="H363" t="str">
        <f t="shared" si="148"/>
        <v>圖書 book</v>
      </c>
      <c r="I363" t="str">
        <f>("BF637.S4 C877 1998")</f>
        <v>BF637.S4 C877 1998</v>
      </c>
      <c r="J363" t="str">
        <f>("1564143406")</f>
        <v>1564143406</v>
      </c>
      <c r="K363" t="str">
        <f>("740")</f>
        <v>740</v>
      </c>
      <c r="L363" t="str">
        <f t="shared" si="143"/>
        <v>2001/10/10 00:00:00</v>
      </c>
      <c r="M363" t="str">
        <f t="shared" si="156"/>
        <v>2018/08/11 13:34:17</v>
      </c>
      <c r="N363" t="str">
        <f>("1998")</f>
        <v>1998</v>
      </c>
      <c r="O363" t="str">
        <f t="shared" si="153"/>
        <v>4F西文書庫 4F Western Language Books</v>
      </c>
      <c r="P363" t="s">
        <v>64</v>
      </c>
      <c r="W363" t="str">
        <f t="shared" si="134"/>
        <v>美國國會圖書分類法</v>
      </c>
      <c r="Y363" t="str">
        <f>("BF637.S4")</f>
        <v>BF637.S4</v>
      </c>
      <c r="Z363" t="str">
        <f t="shared" si="157"/>
        <v>2018/08/11 13:34:17</v>
      </c>
      <c r="AA363" t="str">
        <f t="shared" si="144"/>
        <v>catc</v>
      </c>
      <c r="AC363" t="str">
        <f>("C877")</f>
        <v>C877</v>
      </c>
      <c r="AE363" t="str">
        <f t="shared" si="154"/>
        <v>c.1</v>
      </c>
      <c r="AF363" t="str">
        <f t="shared" si="152"/>
        <v>1.可借圖書</v>
      </c>
      <c r="AG363" t="str">
        <f t="shared" si="155"/>
        <v>在架</v>
      </c>
      <c r="AI363" t="s">
        <v>65</v>
      </c>
      <c r="AK363" t="str">
        <f t="shared" si="145"/>
        <v>一般(Normal)</v>
      </c>
      <c r="AO363" t="s">
        <v>65</v>
      </c>
      <c r="AS363" t="str">
        <f>("c1998. ")</f>
        <v xml:space="preserve">c1998. </v>
      </c>
      <c r="AT363" t="str">
        <f t="shared" si="146"/>
        <v>catc</v>
      </c>
    </row>
    <row r="364" spans="1:46" x14ac:dyDescent="0.25">
      <c r="A364">
        <v>353</v>
      </c>
      <c r="B364" t="str">
        <f>("289263")</f>
        <v>289263</v>
      </c>
      <c r="C364" t="str">
        <f>("W00002389")</f>
        <v>W00002389</v>
      </c>
      <c r="D364" t="str">
        <f>("Person-centered leadership for non profit organizations :management that works in high pressure systems /")</f>
        <v>Person-centered leadership for non profit organizations :management that works in high pressure systems /</v>
      </c>
      <c r="E364" t="str">
        <f>("Plas, Jeanne M. ")</f>
        <v xml:space="preserve">Plas, Jeanne M. </v>
      </c>
      <c r="F364" t="str">
        <f>("Sage Publications,")</f>
        <v>Sage Publications,</v>
      </c>
      <c r="H364" t="str">
        <f t="shared" si="148"/>
        <v>圖書 book</v>
      </c>
      <c r="I364" t="str">
        <f>("HD62.6 P715 2001")</f>
        <v>HD62.6 P715 2001</v>
      </c>
      <c r="J364" t="str">
        <f>("076190624X")</f>
        <v>076190624X</v>
      </c>
      <c r="K364" t="str">
        <f>("968")</f>
        <v>968</v>
      </c>
      <c r="L364" t="str">
        <f t="shared" si="143"/>
        <v>2001/10/10 00:00:00</v>
      </c>
      <c r="M364" t="str">
        <f t="shared" si="156"/>
        <v>2018/08/11 13:34:17</v>
      </c>
      <c r="N364" t="str">
        <f>("2001")</f>
        <v>2001</v>
      </c>
      <c r="O364" t="str">
        <f t="shared" si="153"/>
        <v>4F西文書庫 4F Western Language Books</v>
      </c>
      <c r="P364" t="s">
        <v>64</v>
      </c>
      <c r="W364" t="str">
        <f t="shared" si="134"/>
        <v>美國國會圖書分類法</v>
      </c>
      <c r="Y364" t="str">
        <f>("HD62.6")</f>
        <v>HD62.6</v>
      </c>
      <c r="Z364" t="str">
        <f t="shared" si="157"/>
        <v>2018/08/11 13:34:17</v>
      </c>
      <c r="AA364" t="str">
        <f t="shared" si="144"/>
        <v>catc</v>
      </c>
      <c r="AC364" t="str">
        <f>("P715")</f>
        <v>P715</v>
      </c>
      <c r="AE364" t="str">
        <f t="shared" si="154"/>
        <v>c.1</v>
      </c>
      <c r="AF364" t="str">
        <f t="shared" si="152"/>
        <v>1.可借圖書</v>
      </c>
      <c r="AG364" t="str">
        <f t="shared" si="155"/>
        <v>在架</v>
      </c>
      <c r="AI364" t="s">
        <v>65</v>
      </c>
      <c r="AK364" t="str">
        <f t="shared" si="145"/>
        <v>一般(Normal)</v>
      </c>
      <c r="AO364" t="s">
        <v>65</v>
      </c>
      <c r="AS364" t="str">
        <f>("c2001. ")</f>
        <v xml:space="preserve">c2001. </v>
      </c>
      <c r="AT364" t="str">
        <f t="shared" si="146"/>
        <v>catc</v>
      </c>
    </row>
    <row r="365" spans="1:46" x14ac:dyDescent="0.25">
      <c r="A365">
        <v>354</v>
      </c>
      <c r="B365" t="str">
        <f>("289264")</f>
        <v>289264</v>
      </c>
      <c r="C365" t="str">
        <f>("W00002390")</f>
        <v>W00002390</v>
      </c>
      <c r="D365" t="str">
        <f>("Creativity and innovation for managers /")</f>
        <v>Creativity and innovation for managers /</v>
      </c>
      <c r="E365" t="str">
        <f>("Clegg, Brian. ")</f>
        <v xml:space="preserve">Clegg, Brian. </v>
      </c>
      <c r="H365" t="str">
        <f t="shared" si="148"/>
        <v>圖書 book</v>
      </c>
      <c r="I365" t="str">
        <f>("HD53 C623 1999")</f>
        <v>HD53 C623 1999</v>
      </c>
      <c r="J365" t="str">
        <f>("0750642556")</f>
        <v>0750642556</v>
      </c>
      <c r="K365" t="str">
        <f>("836")</f>
        <v>836</v>
      </c>
      <c r="L365" t="str">
        <f t="shared" si="143"/>
        <v>2001/10/10 00:00:00</v>
      </c>
      <c r="M365" t="str">
        <f t="shared" si="156"/>
        <v>2018/08/11 13:34:17</v>
      </c>
      <c r="N365" t="str">
        <f>("1999")</f>
        <v>1999</v>
      </c>
      <c r="O365" t="str">
        <f t="shared" si="153"/>
        <v>4F西文書庫 4F Western Language Books</v>
      </c>
      <c r="P365" t="s">
        <v>64</v>
      </c>
      <c r="W365" t="str">
        <f t="shared" si="134"/>
        <v>美國國會圖書分類法</v>
      </c>
      <c r="Y365" t="str">
        <f>("HD53")</f>
        <v>HD53</v>
      </c>
      <c r="Z365" t="str">
        <f t="shared" si="157"/>
        <v>2018/08/11 13:34:17</v>
      </c>
      <c r="AA365" t="str">
        <f t="shared" si="144"/>
        <v>catc</v>
      </c>
      <c r="AC365" t="str">
        <f>("C623")</f>
        <v>C623</v>
      </c>
      <c r="AE365" t="str">
        <f t="shared" si="154"/>
        <v>c.1</v>
      </c>
      <c r="AF365" t="str">
        <f t="shared" si="152"/>
        <v>1.可借圖書</v>
      </c>
      <c r="AG365" t="str">
        <f t="shared" si="155"/>
        <v>在架</v>
      </c>
      <c r="AI365" t="s">
        <v>65</v>
      </c>
      <c r="AK365" t="str">
        <f t="shared" si="145"/>
        <v>一般(Normal)</v>
      </c>
      <c r="AO365" t="s">
        <v>65</v>
      </c>
      <c r="AS365" t="str">
        <f>("1999. ")</f>
        <v xml:space="preserve">1999. </v>
      </c>
      <c r="AT365" t="str">
        <f t="shared" si="146"/>
        <v>catc</v>
      </c>
    </row>
    <row r="366" spans="1:46" x14ac:dyDescent="0.25">
      <c r="A366">
        <v>355</v>
      </c>
      <c r="B366" t="str">
        <f>("289265")</f>
        <v>289265</v>
      </c>
      <c r="C366" t="str">
        <f>("W00002391")</f>
        <v>W00002391</v>
      </c>
      <c r="D366" t="str">
        <f>("21-day countdown to success :take charge of your life in less than a month /")</f>
        <v>21-day countdown to success :take charge of your life in less than a month /</v>
      </c>
      <c r="E366" t="str">
        <f>("Witting, Chris J. ")</f>
        <v xml:space="preserve">Witting, Chris J. </v>
      </c>
      <c r="F366" t="str">
        <f>("Career Press,")</f>
        <v>Career Press,</v>
      </c>
      <c r="H366" t="str">
        <f t="shared" si="148"/>
        <v>圖書 book</v>
      </c>
      <c r="I366" t="str">
        <f>("BJ1611.2 W832 1998")</f>
        <v>BJ1611.2 W832 1998</v>
      </c>
      <c r="J366" t="str">
        <f>("1564143813")</f>
        <v>1564143813</v>
      </c>
      <c r="K366" t="str">
        <f>("476")</f>
        <v>476</v>
      </c>
      <c r="L366" t="str">
        <f t="shared" si="143"/>
        <v>2001/10/10 00:00:00</v>
      </c>
      <c r="M366" t="str">
        <f t="shared" ref="M366:M377" si="158">("2018/08/11 13:34:18")</f>
        <v>2018/08/11 13:34:18</v>
      </c>
      <c r="N366" t="str">
        <f>("1998")</f>
        <v>1998</v>
      </c>
      <c r="O366" t="str">
        <f t="shared" si="153"/>
        <v>4F西文書庫 4F Western Language Books</v>
      </c>
      <c r="P366" t="s">
        <v>64</v>
      </c>
      <c r="W366" t="str">
        <f t="shared" si="134"/>
        <v>美國國會圖書分類法</v>
      </c>
      <c r="Y366" t="str">
        <f>("BJ1611.2")</f>
        <v>BJ1611.2</v>
      </c>
      <c r="Z366" t="str">
        <f t="shared" ref="Z366:Z377" si="159">("2018/08/11 13:34:18")</f>
        <v>2018/08/11 13:34:18</v>
      </c>
      <c r="AA366" t="str">
        <f t="shared" si="144"/>
        <v>catc</v>
      </c>
      <c r="AC366" t="str">
        <f>("W832")</f>
        <v>W832</v>
      </c>
      <c r="AE366" t="str">
        <f t="shared" si="154"/>
        <v>c.1</v>
      </c>
      <c r="AF366" t="str">
        <f t="shared" si="152"/>
        <v>1.可借圖書</v>
      </c>
      <c r="AG366" t="str">
        <f t="shared" si="155"/>
        <v>在架</v>
      </c>
      <c r="AI366" t="s">
        <v>65</v>
      </c>
      <c r="AK366" t="str">
        <f t="shared" si="145"/>
        <v>一般(Normal)</v>
      </c>
      <c r="AO366" t="s">
        <v>65</v>
      </c>
      <c r="AS366" t="str">
        <f>("c1998. ")</f>
        <v xml:space="preserve">c1998. </v>
      </c>
      <c r="AT366" t="str">
        <f t="shared" si="146"/>
        <v>catc</v>
      </c>
    </row>
    <row r="367" spans="1:46" x14ac:dyDescent="0.25">
      <c r="A367">
        <v>356</v>
      </c>
      <c r="B367" t="str">
        <f>("289266")</f>
        <v>289266</v>
      </c>
      <c r="C367" t="str">
        <f>("W00002392")</f>
        <v>W00002392</v>
      </c>
      <c r="D367" t="str">
        <f>("50 powerful ways to win new customers :fast, simple, inexpensive, profitable, and proven ideas you can use starting today! /")</f>
        <v>50 powerful ways to win new customers :fast, simple, inexpensive, profitable, and proven ideas you can use starting today! /</v>
      </c>
      <c r="E367" t="str">
        <f>("Timm, Paul R. ")</f>
        <v xml:space="preserve">Timm, Paul R. </v>
      </c>
      <c r="F367" t="str">
        <f>("Career Press,")</f>
        <v>Career Press,</v>
      </c>
      <c r="G367" t="str">
        <f>("2nd ed. ")</f>
        <v xml:space="preserve">2nd ed. </v>
      </c>
      <c r="H367" t="str">
        <f t="shared" si="148"/>
        <v>圖書 book</v>
      </c>
      <c r="I367" t="str">
        <f>("HD62.7 T584 1997")</f>
        <v>HD62.7 T584 1997</v>
      </c>
      <c r="J367" t="str">
        <f>("1564143074")</f>
        <v>1564143074</v>
      </c>
      <c r="K367" t="str">
        <f>("268")</f>
        <v>268</v>
      </c>
      <c r="L367" t="str">
        <f t="shared" si="143"/>
        <v>2001/10/10 00:00:00</v>
      </c>
      <c r="M367" t="str">
        <f t="shared" si="158"/>
        <v>2018/08/11 13:34:18</v>
      </c>
      <c r="N367" t="str">
        <f>("1997")</f>
        <v>1997</v>
      </c>
      <c r="O367" t="str">
        <f t="shared" si="153"/>
        <v>4F西文書庫 4F Western Language Books</v>
      </c>
      <c r="P367" t="s">
        <v>64</v>
      </c>
      <c r="W367" t="str">
        <f t="shared" si="134"/>
        <v>美國國會圖書分類法</v>
      </c>
      <c r="Y367" t="str">
        <f>("HD62.7")</f>
        <v>HD62.7</v>
      </c>
      <c r="Z367" t="str">
        <f t="shared" si="159"/>
        <v>2018/08/11 13:34:18</v>
      </c>
      <c r="AA367" t="str">
        <f t="shared" si="144"/>
        <v>catc</v>
      </c>
      <c r="AC367" t="str">
        <f>("T584")</f>
        <v>T584</v>
      </c>
      <c r="AE367" t="str">
        <f t="shared" si="154"/>
        <v>c.1</v>
      </c>
      <c r="AF367" t="str">
        <f t="shared" si="152"/>
        <v>1.可借圖書</v>
      </c>
      <c r="AG367" t="str">
        <f t="shared" si="155"/>
        <v>在架</v>
      </c>
      <c r="AI367" t="s">
        <v>65</v>
      </c>
      <c r="AK367" t="str">
        <f t="shared" si="145"/>
        <v>一般(Normal)</v>
      </c>
      <c r="AO367" t="s">
        <v>65</v>
      </c>
      <c r="AS367" t="str">
        <f>("c1997. ")</f>
        <v xml:space="preserve">c1997. </v>
      </c>
      <c r="AT367" t="str">
        <f t="shared" si="146"/>
        <v>catc</v>
      </c>
    </row>
    <row r="368" spans="1:46" x14ac:dyDescent="0.25">
      <c r="A368">
        <v>357</v>
      </c>
      <c r="B368" t="str">
        <f>("289267")</f>
        <v>289267</v>
      </c>
      <c r="C368" t="str">
        <f>("W00002393")</f>
        <v>W00002393</v>
      </c>
      <c r="D368" t="str">
        <f>("101 ways to make every second count :time management tips and techniques for more success with less stress /")</f>
        <v>101 ways to make every second count :time management tips and techniques for more success with less stress /</v>
      </c>
      <c r="E368" t="str">
        <f>("Bly, Robert W. ")</f>
        <v xml:space="preserve">Bly, Robert W. </v>
      </c>
      <c r="F368" t="str">
        <f>("Career Press,")</f>
        <v>Career Press,</v>
      </c>
      <c r="H368" t="str">
        <f t="shared" si="148"/>
        <v>圖書 book</v>
      </c>
      <c r="I368" t="str">
        <f>("HD69.T4 B661 1999")</f>
        <v>HD69.T4 B661 1999</v>
      </c>
      <c r="J368" t="str">
        <f>("1564144062")</f>
        <v>1564144062</v>
      </c>
      <c r="K368" t="str">
        <f>("444")</f>
        <v>444</v>
      </c>
      <c r="L368" t="str">
        <f t="shared" si="143"/>
        <v>2001/10/10 00:00:00</v>
      </c>
      <c r="M368" t="str">
        <f t="shared" si="158"/>
        <v>2018/08/11 13:34:18</v>
      </c>
      <c r="N368" t="str">
        <f>("1999")</f>
        <v>1999</v>
      </c>
      <c r="O368" t="str">
        <f t="shared" si="153"/>
        <v>4F西文書庫 4F Western Language Books</v>
      </c>
      <c r="P368" t="s">
        <v>64</v>
      </c>
      <c r="W368" t="str">
        <f t="shared" si="134"/>
        <v>美國國會圖書分類法</v>
      </c>
      <c r="Y368" t="str">
        <f>("HD69.T4")</f>
        <v>HD69.T4</v>
      </c>
      <c r="Z368" t="str">
        <f t="shared" si="159"/>
        <v>2018/08/11 13:34:18</v>
      </c>
      <c r="AA368" t="str">
        <f t="shared" si="144"/>
        <v>catc</v>
      </c>
      <c r="AC368" t="str">
        <f>("B661")</f>
        <v>B661</v>
      </c>
      <c r="AE368" t="str">
        <f t="shared" si="154"/>
        <v>c.1</v>
      </c>
      <c r="AF368" t="str">
        <f t="shared" si="152"/>
        <v>1.可借圖書</v>
      </c>
      <c r="AG368" t="str">
        <f t="shared" si="155"/>
        <v>在架</v>
      </c>
      <c r="AI368" t="s">
        <v>65</v>
      </c>
      <c r="AK368" t="str">
        <f t="shared" si="145"/>
        <v>一般(Normal)</v>
      </c>
      <c r="AO368" t="s">
        <v>65</v>
      </c>
      <c r="AS368" t="str">
        <f>("c1999. ")</f>
        <v xml:space="preserve">c1999. </v>
      </c>
      <c r="AT368" t="str">
        <f t="shared" si="146"/>
        <v>catc</v>
      </c>
    </row>
    <row r="369" spans="1:46" x14ac:dyDescent="0.25">
      <c r="A369">
        <v>358</v>
      </c>
      <c r="B369" t="str">
        <f>("289268")</f>
        <v>289268</v>
      </c>
      <c r="C369" t="str">
        <f>("W00002394")</f>
        <v>W00002394</v>
      </c>
      <c r="D369" t="str">
        <f>("Phone power :increase your effectiveness every time you're on the phone /")</f>
        <v>Phone power :increase your effectiveness every time you're on the phone /</v>
      </c>
      <c r="E369" t="str">
        <f>("Morey, Doc. ")</f>
        <v xml:space="preserve">Morey, Doc. </v>
      </c>
      <c r="F369" t="str">
        <f>("Career Press,")</f>
        <v>Career Press,</v>
      </c>
      <c r="H369" t="str">
        <f t="shared" si="148"/>
        <v>圖書 book</v>
      </c>
      <c r="I369" t="str">
        <f>("HF5541.T4 M835 1998")</f>
        <v>HF5541.T4 M835 1998</v>
      </c>
      <c r="J369" t="str">
        <f>("156414366X")</f>
        <v>156414366X</v>
      </c>
      <c r="K369" t="str">
        <f>("0")</f>
        <v>0</v>
      </c>
      <c r="L369" t="str">
        <f t="shared" si="143"/>
        <v>2001/10/10 00:00:00</v>
      </c>
      <c r="M369" t="str">
        <f t="shared" si="158"/>
        <v>2018/08/11 13:34:18</v>
      </c>
      <c r="N369" t="str">
        <f>("1998")</f>
        <v>1998</v>
      </c>
      <c r="O369" t="str">
        <f t="shared" si="153"/>
        <v>4F西文書庫 4F Western Language Books</v>
      </c>
      <c r="P369" t="s">
        <v>64</v>
      </c>
      <c r="W369" t="str">
        <f t="shared" si="134"/>
        <v>美國國會圖書分類法</v>
      </c>
      <c r="Y369" t="str">
        <f>("HF5541.T4")</f>
        <v>HF5541.T4</v>
      </c>
      <c r="Z369" t="str">
        <f t="shared" si="159"/>
        <v>2018/08/11 13:34:18</v>
      </c>
      <c r="AA369" t="str">
        <f t="shared" si="144"/>
        <v>catc</v>
      </c>
      <c r="AC369" t="str">
        <f>("M835")</f>
        <v>M835</v>
      </c>
      <c r="AE369" t="str">
        <f t="shared" si="154"/>
        <v>c.1</v>
      </c>
      <c r="AF369" t="str">
        <f t="shared" si="152"/>
        <v>1.可借圖書</v>
      </c>
      <c r="AG369" t="str">
        <f t="shared" si="155"/>
        <v>在架</v>
      </c>
      <c r="AI369" t="s">
        <v>65</v>
      </c>
      <c r="AK369" t="str">
        <f t="shared" si="145"/>
        <v>一般(Normal)</v>
      </c>
      <c r="AO369" t="s">
        <v>65</v>
      </c>
      <c r="AS369" t="str">
        <f>("c1998. ")</f>
        <v xml:space="preserve">c1998. </v>
      </c>
      <c r="AT369" t="str">
        <f t="shared" si="146"/>
        <v>catc</v>
      </c>
    </row>
    <row r="370" spans="1:46" x14ac:dyDescent="0.25">
      <c r="A370">
        <v>359</v>
      </c>
      <c r="B370" t="str">
        <f>("289269")</f>
        <v>289269</v>
      </c>
      <c r="C370" t="str">
        <f>("W00002395")</f>
        <v>W00002395</v>
      </c>
      <c r="D370" t="str">
        <f>("100 ways to motivate yourself :change your life forever /")</f>
        <v>100 ways to motivate yourself :change your life forever /</v>
      </c>
      <c r="E370" t="str">
        <f>("Chandler, Steve,1944- ")</f>
        <v xml:space="preserve">Chandler, Steve,1944- </v>
      </c>
      <c r="F370" t="str">
        <f>("Career Press,")</f>
        <v>Career Press,</v>
      </c>
      <c r="G370" t="str">
        <f>("Rev. ed. ")</f>
        <v xml:space="preserve">Rev. ed. </v>
      </c>
      <c r="H370" t="str">
        <f t="shared" si="148"/>
        <v>圖書 book</v>
      </c>
      <c r="I370" t="str">
        <f>("BF503 C455 2001")</f>
        <v>BF503 C455 2001</v>
      </c>
      <c r="J370" t="str">
        <f>("1564145190")</f>
        <v>1564145190</v>
      </c>
      <c r="K370" t="str">
        <f>("564")</f>
        <v>564</v>
      </c>
      <c r="L370" t="str">
        <f t="shared" si="143"/>
        <v>2001/10/10 00:00:00</v>
      </c>
      <c r="M370" t="str">
        <f t="shared" si="158"/>
        <v>2018/08/11 13:34:18</v>
      </c>
      <c r="N370" t="str">
        <f>("2001")</f>
        <v>2001</v>
      </c>
      <c r="O370" t="str">
        <f t="shared" si="153"/>
        <v>4F西文書庫 4F Western Language Books</v>
      </c>
      <c r="P370" t="s">
        <v>64</v>
      </c>
      <c r="W370" t="str">
        <f t="shared" si="134"/>
        <v>美國國會圖書分類法</v>
      </c>
      <c r="Y370" t="str">
        <f>("BF503")</f>
        <v>BF503</v>
      </c>
      <c r="Z370" t="str">
        <f t="shared" si="159"/>
        <v>2018/08/11 13:34:18</v>
      </c>
      <c r="AA370" t="str">
        <f t="shared" si="144"/>
        <v>catc</v>
      </c>
      <c r="AC370" t="str">
        <f>("C455")</f>
        <v>C455</v>
      </c>
      <c r="AE370" t="str">
        <f t="shared" si="154"/>
        <v>c.1</v>
      </c>
      <c r="AF370" t="str">
        <f t="shared" si="152"/>
        <v>1.可借圖書</v>
      </c>
      <c r="AG370" t="str">
        <f t="shared" si="155"/>
        <v>在架</v>
      </c>
      <c r="AI370" t="s">
        <v>65</v>
      </c>
      <c r="AK370" t="str">
        <f t="shared" si="145"/>
        <v>一般(Normal)</v>
      </c>
      <c r="AO370" t="s">
        <v>65</v>
      </c>
      <c r="AS370" t="str">
        <f>("c2001. ")</f>
        <v xml:space="preserve">c2001. </v>
      </c>
      <c r="AT370" t="str">
        <f t="shared" si="146"/>
        <v>catc</v>
      </c>
    </row>
    <row r="371" spans="1:46" x14ac:dyDescent="0.25">
      <c r="A371">
        <v>360</v>
      </c>
      <c r="B371" t="str">
        <f>("289270")</f>
        <v>289270</v>
      </c>
      <c r="C371" t="str">
        <f>("W00002396")</f>
        <v>W00002396</v>
      </c>
      <c r="D371" t="s">
        <v>67</v>
      </c>
      <c r="E371" t="str">
        <f>("Putzier, John,1951- ")</f>
        <v xml:space="preserve">Putzier, John,1951- </v>
      </c>
      <c r="F371" t="str">
        <f>("AMACOM,")</f>
        <v>AMACOM,</v>
      </c>
      <c r="H371" t="str">
        <f t="shared" si="148"/>
        <v>圖書 book</v>
      </c>
      <c r="I371" t="str">
        <f>("HD58.8 P988 2001")</f>
        <v>HD58.8 P988 2001</v>
      </c>
      <c r="J371" t="str">
        <f>("0814471145")</f>
        <v>0814471145</v>
      </c>
      <c r="K371" t="str">
        <f>("532")</f>
        <v>532</v>
      </c>
      <c r="L371" t="str">
        <f t="shared" si="143"/>
        <v>2001/10/10 00:00:00</v>
      </c>
      <c r="M371" t="str">
        <f t="shared" si="158"/>
        <v>2018/08/11 13:34:18</v>
      </c>
      <c r="N371" t="str">
        <f>("2001")</f>
        <v>2001</v>
      </c>
      <c r="O371" t="str">
        <f t="shared" si="153"/>
        <v>4F西文書庫 4F Western Language Books</v>
      </c>
      <c r="P371" t="s">
        <v>64</v>
      </c>
      <c r="W371" t="str">
        <f t="shared" si="134"/>
        <v>美國國會圖書分類法</v>
      </c>
      <c r="Y371" t="str">
        <f>("HD58.8")</f>
        <v>HD58.8</v>
      </c>
      <c r="Z371" t="str">
        <f t="shared" si="159"/>
        <v>2018/08/11 13:34:18</v>
      </c>
      <c r="AA371" t="str">
        <f t="shared" si="144"/>
        <v>catc</v>
      </c>
      <c r="AC371" t="str">
        <f>("P988")</f>
        <v>P988</v>
      </c>
      <c r="AE371" t="str">
        <f t="shared" si="154"/>
        <v>c.1</v>
      </c>
      <c r="AF371" t="str">
        <f t="shared" si="152"/>
        <v>1.可借圖書</v>
      </c>
      <c r="AG371" t="str">
        <f t="shared" si="155"/>
        <v>在架</v>
      </c>
      <c r="AI371" t="s">
        <v>65</v>
      </c>
      <c r="AK371" t="str">
        <f t="shared" si="145"/>
        <v>一般(Normal)</v>
      </c>
      <c r="AO371" t="s">
        <v>65</v>
      </c>
      <c r="AS371" t="str">
        <f>("c2001. ")</f>
        <v xml:space="preserve">c2001. </v>
      </c>
      <c r="AT371" t="str">
        <f t="shared" si="146"/>
        <v>catc</v>
      </c>
    </row>
    <row r="372" spans="1:46" x14ac:dyDescent="0.25">
      <c r="A372">
        <v>361</v>
      </c>
      <c r="B372" t="str">
        <f>("289257")</f>
        <v>289257</v>
      </c>
      <c r="C372" t="str">
        <f>("W00002397")</f>
        <v>W00002397</v>
      </c>
      <c r="D372" t="str">
        <f>("XML ")</f>
        <v xml:space="preserve">XML </v>
      </c>
      <c r="E372" t="str">
        <f>("Simon, Solomon H. ")</f>
        <v xml:space="preserve">Simon, Solomon H. </v>
      </c>
      <c r="F372" t="str">
        <f>("McGraw-Hill,")</f>
        <v>McGraw-Hill,</v>
      </c>
      <c r="H372" t="str">
        <f t="shared" si="148"/>
        <v>圖書 book</v>
      </c>
      <c r="I372" t="str">
        <f>("HD30.37 S594 2001")</f>
        <v>HD30.37 S594 2001</v>
      </c>
      <c r="J372" t="str">
        <f>("0071371885")</f>
        <v>0071371885</v>
      </c>
      <c r="K372" t="str">
        <f>("1032")</f>
        <v>1032</v>
      </c>
      <c r="L372" t="str">
        <f t="shared" si="143"/>
        <v>2001/10/10 00:00:00</v>
      </c>
      <c r="M372" t="str">
        <f t="shared" si="158"/>
        <v>2018/08/11 13:34:18</v>
      </c>
      <c r="N372" t="str">
        <f>("2001")</f>
        <v>2001</v>
      </c>
      <c r="O372" t="str">
        <f t="shared" si="153"/>
        <v>4F西文書庫 4F Western Language Books</v>
      </c>
      <c r="P372" t="s">
        <v>64</v>
      </c>
      <c r="W372" t="str">
        <f t="shared" si="134"/>
        <v>美國國會圖書分類法</v>
      </c>
      <c r="Y372" t="str">
        <f>("HD30.37")</f>
        <v>HD30.37</v>
      </c>
      <c r="Z372" t="str">
        <f t="shared" si="159"/>
        <v>2018/08/11 13:34:18</v>
      </c>
      <c r="AA372" t="str">
        <f t="shared" si="144"/>
        <v>catc</v>
      </c>
      <c r="AC372" t="str">
        <f>("S594")</f>
        <v>S594</v>
      </c>
      <c r="AE372" t="str">
        <f t="shared" si="154"/>
        <v>c.1</v>
      </c>
      <c r="AF372" t="str">
        <f t="shared" si="152"/>
        <v>1.可借圖書</v>
      </c>
      <c r="AG372" t="str">
        <f t="shared" si="155"/>
        <v>在架</v>
      </c>
      <c r="AI372" t="s">
        <v>65</v>
      </c>
      <c r="AK372" t="str">
        <f t="shared" si="145"/>
        <v>一般(Normal)</v>
      </c>
      <c r="AO372" t="s">
        <v>65</v>
      </c>
      <c r="AS372" t="str">
        <f>("2001. ")</f>
        <v xml:space="preserve">2001. </v>
      </c>
      <c r="AT372" t="str">
        <f t="shared" si="146"/>
        <v>catc</v>
      </c>
    </row>
    <row r="373" spans="1:46" x14ac:dyDescent="0.25">
      <c r="A373">
        <v>362</v>
      </c>
      <c r="B373" t="str">
        <f>("289258")</f>
        <v>289258</v>
      </c>
      <c r="C373" t="str">
        <f>("W00002398")</f>
        <v>W00002398</v>
      </c>
      <c r="D373" t="str">
        <f>("The procrastinator's guide to financial security :how anyone over 40 can still build a strong portfolio--and retire comfortably /")</f>
        <v>The procrastinator's guide to financial security :how anyone over 40 can still build a strong portfolio--and retire comfortably /</v>
      </c>
      <c r="E373" t="str">
        <f>("Teitelbaum, David F. ")</f>
        <v xml:space="preserve">Teitelbaum, David F. </v>
      </c>
      <c r="F373" t="str">
        <f>("AMACOM,")</f>
        <v>AMACOM,</v>
      </c>
      <c r="H373" t="str">
        <f t="shared" si="148"/>
        <v>圖書 book</v>
      </c>
      <c r="I373" t="str">
        <f>("HG179 T262 2001")</f>
        <v>HG179 T262 2001</v>
      </c>
      <c r="J373" t="str">
        <f>("0814406211")</f>
        <v>0814406211</v>
      </c>
      <c r="K373" t="str">
        <f>("740")</f>
        <v>740</v>
      </c>
      <c r="L373" t="str">
        <f t="shared" si="143"/>
        <v>2001/10/10 00:00:00</v>
      </c>
      <c r="M373" t="str">
        <f t="shared" si="158"/>
        <v>2018/08/11 13:34:18</v>
      </c>
      <c r="N373" t="str">
        <f>("2001")</f>
        <v>2001</v>
      </c>
      <c r="O373" t="str">
        <f t="shared" si="153"/>
        <v>4F西文書庫 4F Western Language Books</v>
      </c>
      <c r="P373" t="s">
        <v>64</v>
      </c>
      <c r="W373" t="str">
        <f t="shared" ref="W373:W436" si="160">("美國國會圖書分類法")</f>
        <v>美國國會圖書分類法</v>
      </c>
      <c r="Y373" t="str">
        <f>("HG179")</f>
        <v>HG179</v>
      </c>
      <c r="Z373" t="str">
        <f t="shared" si="159"/>
        <v>2018/08/11 13:34:18</v>
      </c>
      <c r="AA373" t="str">
        <f t="shared" si="144"/>
        <v>catc</v>
      </c>
      <c r="AC373" t="str">
        <f>("T262")</f>
        <v>T262</v>
      </c>
      <c r="AE373" t="str">
        <f t="shared" si="154"/>
        <v>c.1</v>
      </c>
      <c r="AF373" t="str">
        <f t="shared" si="152"/>
        <v>1.可借圖書</v>
      </c>
      <c r="AG373" t="str">
        <f t="shared" si="155"/>
        <v>在架</v>
      </c>
      <c r="AI373" t="s">
        <v>65</v>
      </c>
      <c r="AK373" t="str">
        <f t="shared" si="145"/>
        <v>一般(Normal)</v>
      </c>
      <c r="AO373" t="s">
        <v>65</v>
      </c>
      <c r="AS373" t="str">
        <f>("c2001. ")</f>
        <v xml:space="preserve">c2001. </v>
      </c>
      <c r="AT373" t="str">
        <f t="shared" si="146"/>
        <v>catc</v>
      </c>
    </row>
    <row r="374" spans="1:46" x14ac:dyDescent="0.25">
      <c r="A374">
        <v>363</v>
      </c>
      <c r="B374" t="str">
        <f>("289259")</f>
        <v>289259</v>
      </c>
      <c r="C374" t="str">
        <f>("W00002399")</f>
        <v>W00002399</v>
      </c>
      <c r="D374" t="str">
        <f>("Motivation and goal-setting :how to set and achieve goals and inspire others /")</f>
        <v>Motivation and goal-setting :how to set and achieve goals and inspire others /</v>
      </c>
      <c r="E374" t="str">
        <f>("Cairo, Jim. ")</f>
        <v xml:space="preserve">Cairo, Jim. </v>
      </c>
      <c r="F374" t="str">
        <f t="shared" ref="F374:F380" si="161">("Career Press,")</f>
        <v>Career Press,</v>
      </c>
      <c r="H374" t="str">
        <f t="shared" si="148"/>
        <v>圖書 book</v>
      </c>
      <c r="I374" t="str">
        <f>("BF503 C136 1998")</f>
        <v>BF503 C136 1998</v>
      </c>
      <c r="J374" t="str">
        <f>("1564143643")</f>
        <v>1564143643</v>
      </c>
      <c r="K374" t="str">
        <f>("328")</f>
        <v>328</v>
      </c>
      <c r="L374" t="str">
        <f t="shared" si="143"/>
        <v>2001/10/10 00:00:00</v>
      </c>
      <c r="M374" t="str">
        <f t="shared" si="158"/>
        <v>2018/08/11 13:34:18</v>
      </c>
      <c r="N374" t="str">
        <f>("1998")</f>
        <v>1998</v>
      </c>
      <c r="O374" t="str">
        <f t="shared" si="153"/>
        <v>4F西文書庫 4F Western Language Books</v>
      </c>
      <c r="P374" t="s">
        <v>64</v>
      </c>
      <c r="W374" t="str">
        <f t="shared" si="160"/>
        <v>美國國會圖書分類法</v>
      </c>
      <c r="Y374" t="str">
        <f>("BF503")</f>
        <v>BF503</v>
      </c>
      <c r="Z374" t="str">
        <f t="shared" si="159"/>
        <v>2018/08/11 13:34:18</v>
      </c>
      <c r="AA374" t="str">
        <f t="shared" si="144"/>
        <v>catc</v>
      </c>
      <c r="AC374" t="str">
        <f>("C136")</f>
        <v>C136</v>
      </c>
      <c r="AE374" t="str">
        <f t="shared" si="154"/>
        <v>c.1</v>
      </c>
      <c r="AF374" t="str">
        <f t="shared" si="152"/>
        <v>1.可借圖書</v>
      </c>
      <c r="AG374" t="str">
        <f t="shared" si="155"/>
        <v>在架</v>
      </c>
      <c r="AI374" t="s">
        <v>65</v>
      </c>
      <c r="AK374" t="str">
        <f t="shared" si="145"/>
        <v>一般(Normal)</v>
      </c>
      <c r="AO374" t="s">
        <v>65</v>
      </c>
      <c r="AS374" t="str">
        <f>("c1998. ")</f>
        <v xml:space="preserve">c1998. </v>
      </c>
      <c r="AT374" t="str">
        <f t="shared" si="146"/>
        <v>catc</v>
      </c>
    </row>
    <row r="375" spans="1:46" x14ac:dyDescent="0.25">
      <c r="A375">
        <v>364</v>
      </c>
      <c r="B375" t="str">
        <f>("289260")</f>
        <v>289260</v>
      </c>
      <c r="C375" t="str">
        <f>("W00002400")</f>
        <v>W00002400</v>
      </c>
      <c r="D375" t="str">
        <f>("Financial statements :a step-by-step guide to understanding and creating financial reports /")</f>
        <v>Financial statements :a step-by-step guide to understanding and creating financial reports /</v>
      </c>
      <c r="E375" t="str">
        <f>("Ittelson, Thomas R., 1946- ")</f>
        <v xml:space="preserve">Ittelson, Thomas R., 1946- </v>
      </c>
      <c r="F375" t="str">
        <f t="shared" si="161"/>
        <v>Career Press,</v>
      </c>
      <c r="H375" t="str">
        <f t="shared" si="148"/>
        <v>圖書 book</v>
      </c>
      <c r="I375" t="str">
        <f>("HF5681.B2 I91 1998")</f>
        <v>HF5681.B2 I91 1998</v>
      </c>
      <c r="J375" t="str">
        <f>("1564143414")</f>
        <v>1564143414</v>
      </c>
      <c r="K375" t="str">
        <f>("476")</f>
        <v>476</v>
      </c>
      <c r="L375" t="str">
        <f t="shared" si="143"/>
        <v>2001/10/10 00:00:00</v>
      </c>
      <c r="M375" t="str">
        <f t="shared" si="158"/>
        <v>2018/08/11 13:34:18</v>
      </c>
      <c r="N375" t="str">
        <f>("1998")</f>
        <v>1998</v>
      </c>
      <c r="O375" t="str">
        <f t="shared" si="153"/>
        <v>4F西文書庫 4F Western Language Books</v>
      </c>
      <c r="P375" t="s">
        <v>64</v>
      </c>
      <c r="W375" t="str">
        <f t="shared" si="160"/>
        <v>美國國會圖書分類法</v>
      </c>
      <c r="Y375" t="str">
        <f>("HF5681.B2")</f>
        <v>HF5681.B2</v>
      </c>
      <c r="Z375" t="str">
        <f t="shared" si="159"/>
        <v>2018/08/11 13:34:18</v>
      </c>
      <c r="AA375" t="str">
        <f t="shared" si="144"/>
        <v>catc</v>
      </c>
      <c r="AC375" t="str">
        <f>("I91")</f>
        <v>I91</v>
      </c>
      <c r="AE375" t="str">
        <f t="shared" si="154"/>
        <v>c.1</v>
      </c>
      <c r="AF375" t="str">
        <f t="shared" si="152"/>
        <v>1.可借圖書</v>
      </c>
      <c r="AG375" t="str">
        <f t="shared" si="155"/>
        <v>在架</v>
      </c>
      <c r="AI375" t="s">
        <v>65</v>
      </c>
      <c r="AK375" t="str">
        <f t="shared" si="145"/>
        <v>一般(Normal)</v>
      </c>
      <c r="AO375" t="s">
        <v>65</v>
      </c>
      <c r="AS375" t="str">
        <f>("c1998. ")</f>
        <v xml:space="preserve">c1998. </v>
      </c>
      <c r="AT375" t="str">
        <f t="shared" si="146"/>
        <v>catc</v>
      </c>
    </row>
    <row r="376" spans="1:46" x14ac:dyDescent="0.25">
      <c r="A376">
        <v>365</v>
      </c>
      <c r="B376" t="str">
        <f>("289281")</f>
        <v>289281</v>
      </c>
      <c r="C376" t="str">
        <f>("W00002401")</f>
        <v>W00002401</v>
      </c>
      <c r="D376" t="str">
        <f>("A new attitude :achieving personal and professional success by keeping a positive mental outlook /")</f>
        <v>A new attitude :achieving personal and professional success by keeping a positive mental outlook /</v>
      </c>
      <c r="E376" t="str">
        <f>("Thomas, Marian. ")</f>
        <v xml:space="preserve">Thomas, Marian. </v>
      </c>
      <c r="F376" t="str">
        <f t="shared" si="161"/>
        <v>Career Press,</v>
      </c>
      <c r="H376" t="str">
        <f t="shared" si="148"/>
        <v>圖書 book</v>
      </c>
      <c r="I376" t="str">
        <f>("BF637.S8 T454 1991")</f>
        <v>BF637.S8 T454 1991</v>
      </c>
      <c r="J376" t="str">
        <f>("1564143589")</f>
        <v>1564143589</v>
      </c>
      <c r="K376" t="str">
        <f>("352")</f>
        <v>352</v>
      </c>
      <c r="L376" t="str">
        <f t="shared" si="143"/>
        <v>2001/10/10 00:00:00</v>
      </c>
      <c r="M376" t="str">
        <f t="shared" si="158"/>
        <v>2018/08/11 13:34:18</v>
      </c>
      <c r="N376" t="str">
        <f>("1991")</f>
        <v>1991</v>
      </c>
      <c r="O376" t="str">
        <f t="shared" si="153"/>
        <v>4F西文書庫 4F Western Language Books</v>
      </c>
      <c r="P376" t="s">
        <v>64</v>
      </c>
      <c r="W376" t="str">
        <f t="shared" si="160"/>
        <v>美國國會圖書分類法</v>
      </c>
      <c r="Y376" t="str">
        <f>("BF637.S8")</f>
        <v>BF637.S8</v>
      </c>
      <c r="Z376" t="str">
        <f t="shared" si="159"/>
        <v>2018/08/11 13:34:18</v>
      </c>
      <c r="AA376" t="str">
        <f t="shared" si="144"/>
        <v>catc</v>
      </c>
      <c r="AC376" t="str">
        <f>("T454")</f>
        <v>T454</v>
      </c>
      <c r="AE376" t="str">
        <f t="shared" si="154"/>
        <v>c.1</v>
      </c>
      <c r="AF376" t="str">
        <f t="shared" ref="AF376:AF407" si="162">("1.可借圖書")</f>
        <v>1.可借圖書</v>
      </c>
      <c r="AG376" t="str">
        <f t="shared" si="155"/>
        <v>在架</v>
      </c>
      <c r="AI376" t="s">
        <v>65</v>
      </c>
      <c r="AK376" t="str">
        <f t="shared" si="145"/>
        <v>一般(Normal)</v>
      </c>
      <c r="AO376" t="s">
        <v>65</v>
      </c>
      <c r="AS376" t="str">
        <f>("c1998. ")</f>
        <v xml:space="preserve">c1998. </v>
      </c>
      <c r="AT376" t="str">
        <f t="shared" si="146"/>
        <v>catc</v>
      </c>
    </row>
    <row r="377" spans="1:46" x14ac:dyDescent="0.25">
      <c r="A377">
        <v>366</v>
      </c>
      <c r="B377" t="str">
        <f>("289282")</f>
        <v>289282</v>
      </c>
      <c r="C377" t="str">
        <f>("W00002402")</f>
        <v>W00002402</v>
      </c>
      <c r="D377" t="str">
        <f>("101 great answers to the toughest interview questions /")</f>
        <v>101 great answers to the toughest interview questions /</v>
      </c>
      <c r="E377" t="str">
        <f>("Fry, Ronald W. ")</f>
        <v xml:space="preserve">Fry, Ronald W. </v>
      </c>
      <c r="F377" t="str">
        <f t="shared" si="161"/>
        <v>Career Press,</v>
      </c>
      <c r="G377" t="str">
        <f>("4th ed. ")</f>
        <v xml:space="preserve">4th ed. </v>
      </c>
      <c r="H377" t="str">
        <f t="shared" si="148"/>
        <v>圖書 book</v>
      </c>
      <c r="I377" t="str">
        <f>("HF5549.5.I6 F946 2000")</f>
        <v>HF5549.5.I6 F946 2000</v>
      </c>
      <c r="J377" t="str">
        <f>("156414464X")</f>
        <v>156414464X</v>
      </c>
      <c r="K377" t="str">
        <f>("356")</f>
        <v>356</v>
      </c>
      <c r="L377" t="str">
        <f t="shared" si="143"/>
        <v>2001/10/10 00:00:00</v>
      </c>
      <c r="M377" t="str">
        <f t="shared" si="158"/>
        <v>2018/08/11 13:34:18</v>
      </c>
      <c r="N377" t="str">
        <f>("2000")</f>
        <v>2000</v>
      </c>
      <c r="O377" t="str">
        <f t="shared" si="153"/>
        <v>4F西文書庫 4F Western Language Books</v>
      </c>
      <c r="P377" t="s">
        <v>64</v>
      </c>
      <c r="W377" t="str">
        <f t="shared" si="160"/>
        <v>美國國會圖書分類法</v>
      </c>
      <c r="Y377" t="str">
        <f>("HF5549.5.I6")</f>
        <v>HF5549.5.I6</v>
      </c>
      <c r="Z377" t="str">
        <f t="shared" si="159"/>
        <v>2018/08/11 13:34:18</v>
      </c>
      <c r="AA377" t="str">
        <f t="shared" si="144"/>
        <v>catc</v>
      </c>
      <c r="AC377" t="str">
        <f>("F946")</f>
        <v>F946</v>
      </c>
      <c r="AE377" t="str">
        <f t="shared" si="154"/>
        <v>c.1</v>
      </c>
      <c r="AF377" t="str">
        <f t="shared" si="162"/>
        <v>1.可借圖書</v>
      </c>
      <c r="AG377" t="str">
        <f t="shared" si="155"/>
        <v>在架</v>
      </c>
      <c r="AI377" t="s">
        <v>65</v>
      </c>
      <c r="AK377" t="str">
        <f t="shared" si="145"/>
        <v>一般(Normal)</v>
      </c>
      <c r="AO377" t="s">
        <v>65</v>
      </c>
      <c r="AS377" t="str">
        <f>("2000. ")</f>
        <v xml:space="preserve">2000. </v>
      </c>
      <c r="AT377" t="str">
        <f t="shared" si="146"/>
        <v>catc</v>
      </c>
    </row>
    <row r="378" spans="1:46" x14ac:dyDescent="0.25">
      <c r="A378">
        <v>367</v>
      </c>
      <c r="B378" t="str">
        <f>("289283")</f>
        <v>289283</v>
      </c>
      <c r="C378" t="str">
        <f>("W00002403")</f>
        <v>W00002403</v>
      </c>
      <c r="D378" t="str">
        <f>("Repair your own credit /")</f>
        <v>Repair your own credit /</v>
      </c>
      <c r="E378" t="str">
        <f>("Hammond, Bob. ")</f>
        <v xml:space="preserve">Hammond, Bob. </v>
      </c>
      <c r="F378" t="str">
        <f t="shared" si="161"/>
        <v>Career Press,</v>
      </c>
      <c r="G378" t="str">
        <f>("3rd ed. ")</f>
        <v xml:space="preserve">3rd ed. </v>
      </c>
      <c r="H378" t="str">
        <f t="shared" si="148"/>
        <v>圖書 book</v>
      </c>
      <c r="I378" t="str">
        <f>("HG3756.U54 H226 2001")</f>
        <v>HG3756.U54 H226 2001</v>
      </c>
      <c r="J378" t="str">
        <f>("1564145174")</f>
        <v>1564145174</v>
      </c>
      <c r="K378" t="str">
        <f>("356")</f>
        <v>356</v>
      </c>
      <c r="L378" t="str">
        <f t="shared" si="143"/>
        <v>2001/10/10 00:00:00</v>
      </c>
      <c r="M378" t="str">
        <f t="shared" ref="M378:M388" si="163">("2018/08/11 13:34:19")</f>
        <v>2018/08/11 13:34:19</v>
      </c>
      <c r="N378" t="str">
        <f>("2001")</f>
        <v>2001</v>
      </c>
      <c r="O378" t="str">
        <f t="shared" si="153"/>
        <v>4F西文書庫 4F Western Language Books</v>
      </c>
      <c r="P378" t="s">
        <v>64</v>
      </c>
      <c r="W378" t="str">
        <f t="shared" si="160"/>
        <v>美國國會圖書分類法</v>
      </c>
      <c r="Y378" t="str">
        <f>("HG3756.U54")</f>
        <v>HG3756.U54</v>
      </c>
      <c r="Z378" t="str">
        <f t="shared" ref="Z378:Z389" si="164">("2018/08/11 13:34:19")</f>
        <v>2018/08/11 13:34:19</v>
      </c>
      <c r="AA378" t="str">
        <f t="shared" si="144"/>
        <v>catc</v>
      </c>
      <c r="AC378" t="str">
        <f>("H226")</f>
        <v>H226</v>
      </c>
      <c r="AE378" t="str">
        <f t="shared" si="154"/>
        <v>c.1</v>
      </c>
      <c r="AF378" t="str">
        <f t="shared" si="162"/>
        <v>1.可借圖書</v>
      </c>
      <c r="AG378" t="str">
        <f t="shared" si="155"/>
        <v>在架</v>
      </c>
      <c r="AI378" t="s">
        <v>65</v>
      </c>
      <c r="AK378" t="str">
        <f t="shared" si="145"/>
        <v>一般(Normal)</v>
      </c>
      <c r="AO378" t="s">
        <v>65</v>
      </c>
      <c r="AS378" t="str">
        <f>("2001. ")</f>
        <v xml:space="preserve">2001. </v>
      </c>
      <c r="AT378" t="str">
        <f t="shared" si="146"/>
        <v>catc</v>
      </c>
    </row>
    <row r="379" spans="1:46" x14ac:dyDescent="0.25">
      <c r="A379">
        <v>368</v>
      </c>
      <c r="B379" t="str">
        <f>("289284")</f>
        <v>289284</v>
      </c>
      <c r="C379" t="str">
        <f>("W00002404")</f>
        <v>W00002404</v>
      </c>
      <c r="D379" t="str">
        <f>("101 great resumes")</f>
        <v>101 great resumes</v>
      </c>
      <c r="E379" t="str">
        <f>("Career Press Inc. ")</f>
        <v xml:space="preserve">Career Press Inc. </v>
      </c>
      <c r="F379" t="str">
        <f t="shared" si="161"/>
        <v>Career Press,</v>
      </c>
      <c r="H379" t="str">
        <f t="shared" si="148"/>
        <v>圖書 book</v>
      </c>
      <c r="I379" t="str">
        <f>("HF5383 G787 1996")</f>
        <v>HF5383 G787 1996</v>
      </c>
      <c r="J379" t="str">
        <f>("1564142019")</f>
        <v>1564142019</v>
      </c>
      <c r="K379" t="str">
        <f>("296")</f>
        <v>296</v>
      </c>
      <c r="L379" t="str">
        <f t="shared" si="143"/>
        <v>2001/10/10 00:00:00</v>
      </c>
      <c r="M379" t="str">
        <f t="shared" si="163"/>
        <v>2018/08/11 13:34:19</v>
      </c>
      <c r="N379" t="str">
        <f>("1996")</f>
        <v>1996</v>
      </c>
      <c r="O379" t="str">
        <f t="shared" si="153"/>
        <v>4F西文書庫 4F Western Language Books</v>
      </c>
      <c r="P379" t="s">
        <v>64</v>
      </c>
      <c r="W379" t="str">
        <f t="shared" si="160"/>
        <v>美國國會圖書分類法</v>
      </c>
      <c r="Y379" t="str">
        <f>("HF5383")</f>
        <v>HF5383</v>
      </c>
      <c r="Z379" t="str">
        <f t="shared" si="164"/>
        <v>2018/08/11 13:34:19</v>
      </c>
      <c r="AA379" t="str">
        <f t="shared" si="144"/>
        <v>catc</v>
      </c>
      <c r="AC379" t="str">
        <f>("G787")</f>
        <v>G787</v>
      </c>
      <c r="AE379" t="str">
        <f t="shared" si="154"/>
        <v>c.1</v>
      </c>
      <c r="AF379" t="str">
        <f t="shared" si="162"/>
        <v>1.可借圖書</v>
      </c>
      <c r="AG379" t="str">
        <f t="shared" si="155"/>
        <v>在架</v>
      </c>
      <c r="AI379" t="s">
        <v>65</v>
      </c>
      <c r="AK379" t="str">
        <f t="shared" si="145"/>
        <v>一般(Normal)</v>
      </c>
      <c r="AO379" t="s">
        <v>65</v>
      </c>
      <c r="AS379" t="str">
        <f>("c1996. ")</f>
        <v xml:space="preserve">c1996. </v>
      </c>
      <c r="AT379" t="str">
        <f t="shared" si="146"/>
        <v>catc</v>
      </c>
    </row>
    <row r="380" spans="1:46" x14ac:dyDescent="0.25">
      <c r="A380">
        <v>369</v>
      </c>
      <c r="B380" t="str">
        <f>("289285")</f>
        <v>289285</v>
      </c>
      <c r="C380" t="str">
        <f>("W00002405")</f>
        <v>W00002405</v>
      </c>
      <c r="D380" t="str">
        <f>("Successful negotiating :letting the other person have your way /")</f>
        <v>Successful negotiating :letting the other person have your way /</v>
      </c>
      <c r="E380" t="str">
        <f>("Barnes, Ginny Pearson. ")</f>
        <v xml:space="preserve">Barnes, Ginny Pearson. </v>
      </c>
      <c r="F380" t="str">
        <f t="shared" si="161"/>
        <v>Career Press,</v>
      </c>
      <c r="H380" t="str">
        <f t="shared" si="148"/>
        <v>圖書 book</v>
      </c>
      <c r="I380" t="str">
        <f>("HD58.6 B261 1998")</f>
        <v>HD58.6 B261 1998</v>
      </c>
      <c r="J380" t="str">
        <f>("1564143597")</f>
        <v>1564143597</v>
      </c>
      <c r="K380" t="str">
        <f>("328")</f>
        <v>328</v>
      </c>
      <c r="L380" t="str">
        <f t="shared" si="143"/>
        <v>2001/10/10 00:00:00</v>
      </c>
      <c r="M380" t="str">
        <f t="shared" si="163"/>
        <v>2018/08/11 13:34:19</v>
      </c>
      <c r="N380" t="str">
        <f>("1998")</f>
        <v>1998</v>
      </c>
      <c r="O380" t="str">
        <f t="shared" si="153"/>
        <v>4F西文書庫 4F Western Language Books</v>
      </c>
      <c r="P380" t="s">
        <v>64</v>
      </c>
      <c r="W380" t="str">
        <f t="shared" si="160"/>
        <v>美國國會圖書分類法</v>
      </c>
      <c r="Y380" t="str">
        <f>("HD58.6")</f>
        <v>HD58.6</v>
      </c>
      <c r="Z380" t="str">
        <f t="shared" si="164"/>
        <v>2018/08/11 13:34:19</v>
      </c>
      <c r="AA380" t="str">
        <f t="shared" si="144"/>
        <v>catc</v>
      </c>
      <c r="AC380" t="str">
        <f>("B261")</f>
        <v>B261</v>
      </c>
      <c r="AE380" t="str">
        <f t="shared" si="154"/>
        <v>c.1</v>
      </c>
      <c r="AF380" t="str">
        <f t="shared" si="162"/>
        <v>1.可借圖書</v>
      </c>
      <c r="AG380" t="str">
        <f t="shared" si="155"/>
        <v>在架</v>
      </c>
      <c r="AI380" t="s">
        <v>65</v>
      </c>
      <c r="AK380" t="str">
        <f t="shared" si="145"/>
        <v>一般(Normal)</v>
      </c>
      <c r="AO380" t="s">
        <v>65</v>
      </c>
      <c r="AS380" t="str">
        <f>("c1998. ")</f>
        <v xml:space="preserve">c1998. </v>
      </c>
      <c r="AT380" t="str">
        <f t="shared" si="146"/>
        <v>catc</v>
      </c>
    </row>
    <row r="381" spans="1:46" x14ac:dyDescent="0.25">
      <c r="A381">
        <v>370</v>
      </c>
      <c r="B381" t="str">
        <f>("289271")</f>
        <v>289271</v>
      </c>
      <c r="C381" t="str">
        <f>("W00002406")</f>
        <v>W00002406</v>
      </c>
      <c r="D381" t="str">
        <f>("Business etiquette : 101 ways to conduct business with charm and savvy / ")</f>
        <v xml:space="preserve">Business etiquette : 101 ways to conduct business with charm and savvy / </v>
      </c>
      <c r="E381" t="str">
        <f>("Sabath, Ann Marie. ")</f>
        <v xml:space="preserve">Sabath, Ann Marie. </v>
      </c>
      <c r="F381" t="str">
        <f>("Career Press, ")</f>
        <v xml:space="preserve">Career Press, </v>
      </c>
      <c r="H381" t="str">
        <f t="shared" si="148"/>
        <v>圖書 book</v>
      </c>
      <c r="I381" t="str">
        <f>("HF5389 S113 1998")</f>
        <v>HF5389 S113 1998</v>
      </c>
      <c r="J381" t="str">
        <f>("1564143228")</f>
        <v>1564143228</v>
      </c>
      <c r="K381" t="str">
        <f>("356")</f>
        <v>356</v>
      </c>
      <c r="L381" t="str">
        <f t="shared" si="143"/>
        <v>2001/10/10 00:00:00</v>
      </c>
      <c r="M381" t="str">
        <f t="shared" si="163"/>
        <v>2018/08/11 13:34:19</v>
      </c>
      <c r="N381" t="str">
        <f>("1998")</f>
        <v>1998</v>
      </c>
      <c r="O381" t="str">
        <f t="shared" si="153"/>
        <v>4F西文書庫 4F Western Language Books</v>
      </c>
      <c r="P381" t="s">
        <v>64</v>
      </c>
      <c r="W381" t="str">
        <f t="shared" si="160"/>
        <v>美國國會圖書分類法</v>
      </c>
      <c r="Y381" t="str">
        <f>("HF5389")</f>
        <v>HF5389</v>
      </c>
      <c r="Z381" t="str">
        <f t="shared" si="164"/>
        <v>2018/08/11 13:34:19</v>
      </c>
      <c r="AA381" t="str">
        <f t="shared" si="144"/>
        <v>catc</v>
      </c>
      <c r="AC381" t="str">
        <f>("S113")</f>
        <v>S113</v>
      </c>
      <c r="AE381" t="str">
        <f t="shared" si="154"/>
        <v>c.1</v>
      </c>
      <c r="AF381" t="str">
        <f t="shared" si="162"/>
        <v>1.可借圖書</v>
      </c>
      <c r="AG381" t="str">
        <f t="shared" si="155"/>
        <v>在架</v>
      </c>
      <c r="AI381" t="s">
        <v>65</v>
      </c>
      <c r="AK381" t="str">
        <f t="shared" si="145"/>
        <v>一般(Normal)</v>
      </c>
      <c r="AO381" t="s">
        <v>65</v>
      </c>
      <c r="AS381" t="str">
        <f>("c1998. ")</f>
        <v xml:space="preserve">c1998. </v>
      </c>
      <c r="AT381" t="str">
        <f t="shared" si="146"/>
        <v>catc</v>
      </c>
    </row>
    <row r="382" spans="1:46" x14ac:dyDescent="0.25">
      <c r="A382">
        <v>371</v>
      </c>
      <c r="B382" t="str">
        <f>("289286")</f>
        <v>289286</v>
      </c>
      <c r="C382" t="str">
        <f>("W00002407")</f>
        <v>W00002407</v>
      </c>
      <c r="D382" t="str">
        <f>("E-Commerce:strategy,technologies and application/")</f>
        <v>E-Commerce:strategy,technologies and application/</v>
      </c>
      <c r="E382" t="str">
        <f>("Whiteley,David ")</f>
        <v xml:space="preserve">Whiteley,David </v>
      </c>
      <c r="F382" t="str">
        <f>("McGraw-Hill ,")</f>
        <v>McGraw-Hill ,</v>
      </c>
      <c r="H382" t="str">
        <f t="shared" si="148"/>
        <v>圖書 book</v>
      </c>
      <c r="I382" t="str">
        <f>("HF5548.32 W594 2000")</f>
        <v>HF5548.32 W594 2000</v>
      </c>
      <c r="J382" t="str">
        <f>("0077095529")</f>
        <v>0077095529</v>
      </c>
      <c r="K382" t="str">
        <f>("1256")</f>
        <v>1256</v>
      </c>
      <c r="L382" t="str">
        <f t="shared" si="143"/>
        <v>2001/10/10 00:00:00</v>
      </c>
      <c r="M382" t="str">
        <f t="shared" si="163"/>
        <v>2018/08/11 13:34:19</v>
      </c>
      <c r="N382" t="str">
        <f>("2000")</f>
        <v>2000</v>
      </c>
      <c r="O382" t="str">
        <f t="shared" si="153"/>
        <v>4F西文書庫 4F Western Language Books</v>
      </c>
      <c r="P382" t="s">
        <v>64</v>
      </c>
      <c r="W382" t="str">
        <f t="shared" si="160"/>
        <v>美國國會圖書分類法</v>
      </c>
      <c r="Y382" t="str">
        <f>("HF5548.32")</f>
        <v>HF5548.32</v>
      </c>
      <c r="Z382" t="str">
        <f t="shared" si="164"/>
        <v>2018/08/11 13:34:19</v>
      </c>
      <c r="AA382" t="str">
        <f t="shared" si="144"/>
        <v>catc</v>
      </c>
      <c r="AC382" t="str">
        <f>("W594")</f>
        <v>W594</v>
      </c>
      <c r="AE382" t="str">
        <f t="shared" si="154"/>
        <v>c.1</v>
      </c>
      <c r="AF382" t="str">
        <f t="shared" si="162"/>
        <v>1.可借圖書</v>
      </c>
      <c r="AG382" t="str">
        <f t="shared" si="155"/>
        <v>在架</v>
      </c>
      <c r="AI382" t="s">
        <v>65</v>
      </c>
      <c r="AK382" t="str">
        <f t="shared" si="145"/>
        <v>一般(Normal)</v>
      </c>
      <c r="AO382" t="s">
        <v>65</v>
      </c>
      <c r="AS382" t="str">
        <f>("2000.")</f>
        <v>2000.</v>
      </c>
      <c r="AT382" t="str">
        <f t="shared" si="146"/>
        <v>catc</v>
      </c>
    </row>
    <row r="383" spans="1:46" x14ac:dyDescent="0.25">
      <c r="A383">
        <v>372</v>
      </c>
      <c r="B383" t="str">
        <f>("289287")</f>
        <v>289287</v>
      </c>
      <c r="C383" t="str">
        <f>("W00002408")</f>
        <v>W00002408</v>
      </c>
      <c r="D383" t="str">
        <f>("Ask the right questions /")</f>
        <v>Ask the right questions /</v>
      </c>
      <c r="E383" t="str">
        <f>("Fry, Ronald W. ")</f>
        <v xml:space="preserve">Fry, Ronald W. </v>
      </c>
      <c r="F383" t="str">
        <f>("Career Press,")</f>
        <v>Career Press,</v>
      </c>
      <c r="H383" t="str">
        <f t="shared" si="148"/>
        <v>圖書 book</v>
      </c>
      <c r="I383" t="str">
        <f>("HF5549.5.S38 F946 1999")</f>
        <v>HF5549.5.S38 F946 1999</v>
      </c>
      <c r="J383" t="str">
        <f>("1564144143")</f>
        <v>1564144143</v>
      </c>
      <c r="K383" t="str">
        <f>("444")</f>
        <v>444</v>
      </c>
      <c r="L383" t="str">
        <f t="shared" si="143"/>
        <v>2001/10/10 00:00:00</v>
      </c>
      <c r="M383" t="str">
        <f t="shared" si="163"/>
        <v>2018/08/11 13:34:19</v>
      </c>
      <c r="N383" t="str">
        <f>("1999")</f>
        <v>1999</v>
      </c>
      <c r="O383" t="str">
        <f t="shared" si="153"/>
        <v>4F西文書庫 4F Western Language Books</v>
      </c>
      <c r="P383" t="s">
        <v>64</v>
      </c>
      <c r="W383" t="str">
        <f t="shared" si="160"/>
        <v>美國國會圖書分類法</v>
      </c>
      <c r="Y383" t="str">
        <f>("HF5549.5.S38")</f>
        <v>HF5549.5.S38</v>
      </c>
      <c r="Z383" t="str">
        <f t="shared" si="164"/>
        <v>2018/08/11 13:34:19</v>
      </c>
      <c r="AA383" t="str">
        <f t="shared" si="144"/>
        <v>catc</v>
      </c>
      <c r="AC383" t="str">
        <f>("F946")</f>
        <v>F946</v>
      </c>
      <c r="AE383" t="str">
        <f t="shared" si="154"/>
        <v>c.1</v>
      </c>
      <c r="AF383" t="str">
        <f t="shared" si="162"/>
        <v>1.可借圖書</v>
      </c>
      <c r="AG383" t="str">
        <f t="shared" si="155"/>
        <v>在架</v>
      </c>
      <c r="AI383" t="s">
        <v>65</v>
      </c>
      <c r="AK383" t="str">
        <f t="shared" si="145"/>
        <v>一般(Normal)</v>
      </c>
      <c r="AO383" t="s">
        <v>65</v>
      </c>
      <c r="AS383" t="str">
        <f>("c2000. ")</f>
        <v xml:space="preserve">c2000. </v>
      </c>
      <c r="AT383" t="str">
        <f t="shared" si="146"/>
        <v>catc</v>
      </c>
    </row>
    <row r="384" spans="1:46" x14ac:dyDescent="0.25">
      <c r="A384">
        <v>373</v>
      </c>
      <c r="B384" t="str">
        <f>("289288")</f>
        <v>289288</v>
      </c>
      <c r="C384" t="str">
        <f>("W00002409")</f>
        <v>W00002409</v>
      </c>
      <c r="D384" t="str">
        <f>("Profit from the core :growth strategy in an era of turbulence /")</f>
        <v>Profit from the core :growth strategy in an era of turbulence /</v>
      </c>
      <c r="E384" t="str">
        <f>("Zook, Chris,1951- ")</f>
        <v xml:space="preserve">Zook, Chris,1951- </v>
      </c>
      <c r="F384" t="str">
        <f>("Harvard Business School Press,")</f>
        <v>Harvard Business School Press,</v>
      </c>
      <c r="H384" t="str">
        <f t="shared" si="148"/>
        <v>圖書 book</v>
      </c>
      <c r="I384" t="str">
        <f>("HD2746 Z83 2001")</f>
        <v>HD2746 Z83 2001</v>
      </c>
      <c r="J384" t="str">
        <f>("1578512301")</f>
        <v>1578512301</v>
      </c>
      <c r="K384" t="str">
        <f>("812")</f>
        <v>812</v>
      </c>
      <c r="L384" t="str">
        <f t="shared" si="143"/>
        <v>2001/10/10 00:00:00</v>
      </c>
      <c r="M384" t="str">
        <f t="shared" si="163"/>
        <v>2018/08/11 13:34:19</v>
      </c>
      <c r="N384" t="str">
        <f>("2001")</f>
        <v>2001</v>
      </c>
      <c r="O384" t="str">
        <f t="shared" si="153"/>
        <v>4F西文書庫 4F Western Language Books</v>
      </c>
      <c r="P384" t="s">
        <v>64</v>
      </c>
      <c r="W384" t="str">
        <f t="shared" si="160"/>
        <v>美國國會圖書分類法</v>
      </c>
      <c r="Y384" t="str">
        <f>("HD2746")</f>
        <v>HD2746</v>
      </c>
      <c r="Z384" t="str">
        <f t="shared" si="164"/>
        <v>2018/08/11 13:34:19</v>
      </c>
      <c r="AA384" t="str">
        <f t="shared" si="144"/>
        <v>catc</v>
      </c>
      <c r="AC384" t="str">
        <f>("Z83")</f>
        <v>Z83</v>
      </c>
      <c r="AE384" t="str">
        <f t="shared" si="154"/>
        <v>c.1</v>
      </c>
      <c r="AF384" t="str">
        <f t="shared" si="162"/>
        <v>1.可借圖書</v>
      </c>
      <c r="AG384" t="str">
        <f t="shared" si="155"/>
        <v>在架</v>
      </c>
      <c r="AI384" t="s">
        <v>65</v>
      </c>
      <c r="AK384" t="str">
        <f t="shared" si="145"/>
        <v>一般(Normal)</v>
      </c>
      <c r="AO384" t="s">
        <v>65</v>
      </c>
      <c r="AS384" t="str">
        <f>("c2001. ")</f>
        <v xml:space="preserve">c2001. </v>
      </c>
      <c r="AT384" t="str">
        <f t="shared" si="146"/>
        <v>catc</v>
      </c>
    </row>
    <row r="385" spans="1:48" x14ac:dyDescent="0.25">
      <c r="A385">
        <v>374</v>
      </c>
      <c r="B385" t="str">
        <f>("289289")</f>
        <v>289289</v>
      </c>
      <c r="C385" t="str">
        <f>("W00002410")</f>
        <v>W00002410</v>
      </c>
      <c r="D385" t="str">
        <f>("Building your career portfolio /")</f>
        <v>Building your career portfolio /</v>
      </c>
      <c r="E385" t="str">
        <f>("Poore, Carol A. ")</f>
        <v xml:space="preserve">Poore, Carol A. </v>
      </c>
      <c r="F385" t="str">
        <f>("Career Press,")</f>
        <v>Career Press,</v>
      </c>
      <c r="H385" t="str">
        <f t="shared" si="148"/>
        <v>圖書 book</v>
      </c>
      <c r="I385" t="str">
        <f>("HF5381 P823 2001")</f>
        <v>HF5381 P823 2001</v>
      </c>
      <c r="J385" t="str">
        <f>("1564145409")</f>
        <v>1564145409</v>
      </c>
      <c r="K385" t="str">
        <f>("416")</f>
        <v>416</v>
      </c>
      <c r="L385" t="str">
        <f t="shared" si="143"/>
        <v>2001/10/10 00:00:00</v>
      </c>
      <c r="M385" t="str">
        <f t="shared" si="163"/>
        <v>2018/08/11 13:34:19</v>
      </c>
      <c r="N385" t="str">
        <f>("2001")</f>
        <v>2001</v>
      </c>
      <c r="O385" t="str">
        <f t="shared" si="153"/>
        <v>4F西文書庫 4F Western Language Books</v>
      </c>
      <c r="P385" t="s">
        <v>64</v>
      </c>
      <c r="W385" t="str">
        <f t="shared" si="160"/>
        <v>美國國會圖書分類法</v>
      </c>
      <c r="Y385" t="str">
        <f>("HF5381")</f>
        <v>HF5381</v>
      </c>
      <c r="Z385" t="str">
        <f t="shared" si="164"/>
        <v>2018/08/11 13:34:19</v>
      </c>
      <c r="AA385" t="str">
        <f t="shared" si="144"/>
        <v>catc</v>
      </c>
      <c r="AC385" t="str">
        <f>("P823")</f>
        <v>P823</v>
      </c>
      <c r="AE385" t="str">
        <f t="shared" si="154"/>
        <v>c.1</v>
      </c>
      <c r="AF385" t="str">
        <f t="shared" si="162"/>
        <v>1.可借圖書</v>
      </c>
      <c r="AG385" t="str">
        <f t="shared" si="155"/>
        <v>在架</v>
      </c>
      <c r="AI385" t="s">
        <v>65</v>
      </c>
      <c r="AK385" t="str">
        <f t="shared" si="145"/>
        <v>一般(Normal)</v>
      </c>
      <c r="AO385" t="s">
        <v>65</v>
      </c>
      <c r="AS385" t="str">
        <f>("2001. ")</f>
        <v xml:space="preserve">2001. </v>
      </c>
      <c r="AT385" t="str">
        <f t="shared" si="146"/>
        <v>catc</v>
      </c>
    </row>
    <row r="386" spans="1:48" x14ac:dyDescent="0.25">
      <c r="A386">
        <v>375</v>
      </c>
      <c r="B386" t="str">
        <f>("289290")</f>
        <v>289290</v>
      </c>
      <c r="C386" t="str">
        <f>("W00002411")</f>
        <v>W00002411</v>
      </c>
      <c r="D386" t="str">
        <f>("What smart people do when dumb things happen at work :hundreds of tips for dealing with all the blunders, glitches, traps, and setbacks that sabotage your road to success /")</f>
        <v>What smart people do when dumb things happen at work :hundreds of tips for dealing with all the blunders, glitches, traps, and setbacks that sabotage your road to success /</v>
      </c>
      <c r="E386" t="str">
        <f>("Watson, Charles E. ")</f>
        <v xml:space="preserve">Watson, Charles E. </v>
      </c>
      <c r="F386" t="str">
        <f>("Career Press,")</f>
        <v>Career Press,</v>
      </c>
      <c r="H386" t="str">
        <f t="shared" si="148"/>
        <v>圖書 book</v>
      </c>
      <c r="I386" t="str">
        <f>("HF5381 W338 1999")</f>
        <v>HF5381 W338 1999</v>
      </c>
      <c r="J386" t="str">
        <f>("1564143953")</f>
        <v>1564143953</v>
      </c>
      <c r="K386" t="str">
        <f>("476")</f>
        <v>476</v>
      </c>
      <c r="L386" t="str">
        <f t="shared" si="143"/>
        <v>2001/10/10 00:00:00</v>
      </c>
      <c r="M386" t="str">
        <f t="shared" si="163"/>
        <v>2018/08/11 13:34:19</v>
      </c>
      <c r="N386" t="str">
        <f>("1999")</f>
        <v>1999</v>
      </c>
      <c r="O386" t="str">
        <f t="shared" ref="O386:O417" si="165">("4F西文書庫 4F Western Language Books")</f>
        <v>4F西文書庫 4F Western Language Books</v>
      </c>
      <c r="P386" t="s">
        <v>64</v>
      </c>
      <c r="W386" t="str">
        <f t="shared" si="160"/>
        <v>美國國會圖書分類法</v>
      </c>
      <c r="Y386" t="str">
        <f>("HF5381")</f>
        <v>HF5381</v>
      </c>
      <c r="Z386" t="str">
        <f t="shared" si="164"/>
        <v>2018/08/11 13:34:19</v>
      </c>
      <c r="AA386" t="str">
        <f t="shared" si="144"/>
        <v>catc</v>
      </c>
      <c r="AC386" t="str">
        <f>("W338")</f>
        <v>W338</v>
      </c>
      <c r="AE386" t="str">
        <f t="shared" ref="AE386:AE417" si="166">("c.1")</f>
        <v>c.1</v>
      </c>
      <c r="AF386" t="str">
        <f t="shared" si="162"/>
        <v>1.可借圖書</v>
      </c>
      <c r="AG386" t="str">
        <f t="shared" ref="AG386:AG417" si="167">("在架")</f>
        <v>在架</v>
      </c>
      <c r="AI386" t="s">
        <v>65</v>
      </c>
      <c r="AK386" t="str">
        <f t="shared" si="145"/>
        <v>一般(Normal)</v>
      </c>
      <c r="AO386" t="s">
        <v>65</v>
      </c>
      <c r="AS386" t="str">
        <f>("c1999. ")</f>
        <v xml:space="preserve">c1999. </v>
      </c>
      <c r="AT386" t="str">
        <f t="shared" si="146"/>
        <v>catc</v>
      </c>
      <c r="AV386" t="str">
        <f>("http://lcweb.loc.gov/catdir/toc/98053612.html")</f>
        <v>http://lcweb.loc.gov/catdir/toc/98053612.html</v>
      </c>
    </row>
    <row r="387" spans="1:48" x14ac:dyDescent="0.25">
      <c r="A387">
        <v>376</v>
      </c>
      <c r="B387" t="str">
        <f>("289291")</f>
        <v>289291</v>
      </c>
      <c r="C387" t="str">
        <f>("W00002412")</f>
        <v>W00002412</v>
      </c>
      <c r="D387" t="str">
        <f>("Where the jobs are :the hottest careers for the 21st century /")</f>
        <v>Where the jobs are :the hottest careers for the 21st century /</v>
      </c>
      <c r="E387" t="str">
        <f>("Copeland, Joyce Hadley. ")</f>
        <v xml:space="preserve">Copeland, Joyce Hadley. </v>
      </c>
      <c r="F387" t="str">
        <f>("Career Press,")</f>
        <v>Career Press,</v>
      </c>
      <c r="G387" t="str">
        <f>("3rd ed. ")</f>
        <v xml:space="preserve">3rd ed. </v>
      </c>
      <c r="H387" t="str">
        <f t="shared" si="148"/>
        <v>圖書 book</v>
      </c>
      <c r="I387" t="str">
        <f>("HF5382.75.U6 C782 2000")</f>
        <v>HF5382.75.U6 C782 2000</v>
      </c>
      <c r="J387" t="str">
        <f>("1564144224")</f>
        <v>1564144224</v>
      </c>
      <c r="K387" t="str">
        <f>("416")</f>
        <v>416</v>
      </c>
      <c r="L387" t="str">
        <f t="shared" si="143"/>
        <v>2001/10/10 00:00:00</v>
      </c>
      <c r="M387" t="str">
        <f t="shared" si="163"/>
        <v>2018/08/11 13:34:19</v>
      </c>
      <c r="N387" t="str">
        <f>("2000")</f>
        <v>2000</v>
      </c>
      <c r="O387" t="str">
        <f t="shared" si="165"/>
        <v>4F西文書庫 4F Western Language Books</v>
      </c>
      <c r="P387" t="s">
        <v>64</v>
      </c>
      <c r="W387" t="str">
        <f t="shared" si="160"/>
        <v>美國國會圖書分類法</v>
      </c>
      <c r="Y387" t="str">
        <f>("HF5382.75.U6")</f>
        <v>HF5382.75.U6</v>
      </c>
      <c r="Z387" t="str">
        <f t="shared" si="164"/>
        <v>2018/08/11 13:34:19</v>
      </c>
      <c r="AA387" t="str">
        <f t="shared" si="144"/>
        <v>catc</v>
      </c>
      <c r="AC387" t="str">
        <f>("C782")</f>
        <v>C782</v>
      </c>
      <c r="AE387" t="str">
        <f t="shared" si="166"/>
        <v>c.1</v>
      </c>
      <c r="AF387" t="str">
        <f t="shared" si="162"/>
        <v>1.可借圖書</v>
      </c>
      <c r="AG387" t="str">
        <f t="shared" si="167"/>
        <v>在架</v>
      </c>
      <c r="AI387" t="s">
        <v>65</v>
      </c>
      <c r="AK387" t="str">
        <f t="shared" si="145"/>
        <v>一般(Normal)</v>
      </c>
      <c r="AO387" t="s">
        <v>65</v>
      </c>
      <c r="AS387" t="str">
        <f>("c2000. ")</f>
        <v xml:space="preserve">c2000. </v>
      </c>
      <c r="AT387" t="str">
        <f t="shared" si="146"/>
        <v>catc</v>
      </c>
    </row>
    <row r="388" spans="1:48" x14ac:dyDescent="0.25">
      <c r="A388">
        <v>377</v>
      </c>
      <c r="B388" t="str">
        <f>("289292")</f>
        <v>289292</v>
      </c>
      <c r="C388" t="str">
        <f>("W00002413")</f>
        <v>W00002413</v>
      </c>
      <c r="D388" t="str">
        <f>("StrikingItRich.com :profiles of 23 incredibly successful websites you've probably never heard of /")</f>
        <v>StrikingItRich.com :profiles of 23 incredibly successful websites you've probably never heard of /</v>
      </c>
      <c r="E388" t="str">
        <f>("Easton, Jaclyn,1961- ")</f>
        <v xml:space="preserve">Easton, Jaclyn,1961- </v>
      </c>
      <c r="F388" t="str">
        <f>("McGraw-Hill,;CommerceNet Press ;")</f>
        <v>McGraw-Hill,;CommerceNet Press ;</v>
      </c>
      <c r="G388" t="str">
        <f>("1st McGraw-Hill pbk. ed. ")</f>
        <v xml:space="preserve">1st McGraw-Hill pbk. ed. </v>
      </c>
      <c r="H388" t="str">
        <f t="shared" si="148"/>
        <v>圖書 book</v>
      </c>
      <c r="I388" t="str">
        <f>("HF5415.1265 E13 2000")</f>
        <v>HF5415.1265 E13 2000</v>
      </c>
      <c r="J388" t="str">
        <f>("0071355790")</f>
        <v>0071355790</v>
      </c>
      <c r="K388" t="str">
        <f>("432")</f>
        <v>432</v>
      </c>
      <c r="L388" t="str">
        <f t="shared" si="143"/>
        <v>2001/10/10 00:00:00</v>
      </c>
      <c r="M388" t="str">
        <f t="shared" si="163"/>
        <v>2018/08/11 13:34:19</v>
      </c>
      <c r="N388" t="str">
        <f>("2000")</f>
        <v>2000</v>
      </c>
      <c r="O388" t="str">
        <f t="shared" si="165"/>
        <v>4F西文書庫 4F Western Language Books</v>
      </c>
      <c r="P388" t="s">
        <v>64</v>
      </c>
      <c r="W388" t="str">
        <f t="shared" si="160"/>
        <v>美國國會圖書分類法</v>
      </c>
      <c r="Y388" t="str">
        <f>("HF5415.1265")</f>
        <v>HF5415.1265</v>
      </c>
      <c r="Z388" t="str">
        <f t="shared" si="164"/>
        <v>2018/08/11 13:34:19</v>
      </c>
      <c r="AA388" t="str">
        <f t="shared" si="144"/>
        <v>catc</v>
      </c>
      <c r="AC388" t="str">
        <f>("E13")</f>
        <v>E13</v>
      </c>
      <c r="AE388" t="str">
        <f t="shared" si="166"/>
        <v>c.1</v>
      </c>
      <c r="AF388" t="str">
        <f t="shared" si="162"/>
        <v>1.可借圖書</v>
      </c>
      <c r="AG388" t="str">
        <f t="shared" si="167"/>
        <v>在架</v>
      </c>
      <c r="AI388" t="s">
        <v>65</v>
      </c>
      <c r="AK388" t="str">
        <f t="shared" si="145"/>
        <v>一般(Normal)</v>
      </c>
      <c r="AO388" t="s">
        <v>65</v>
      </c>
      <c r="AS388" t="str">
        <f>("2000. ")</f>
        <v xml:space="preserve">2000. </v>
      </c>
      <c r="AT388" t="str">
        <f t="shared" si="146"/>
        <v>catc</v>
      </c>
    </row>
    <row r="389" spans="1:48" x14ac:dyDescent="0.25">
      <c r="A389">
        <v>378</v>
      </c>
      <c r="B389" t="str">
        <f>("289293")</f>
        <v>289293</v>
      </c>
      <c r="C389" t="str">
        <f>("W00002414")</f>
        <v>W00002414</v>
      </c>
      <c r="D389" t="str">
        <f>("Beyond business casual :what to wear to work if you want to get ahead /")</f>
        <v>Beyond business casual :what to wear to work if you want to get ahead /</v>
      </c>
      <c r="E389" t="str">
        <f>("Sabath, Ann Marie. ")</f>
        <v xml:space="preserve">Sabath, Ann Marie. </v>
      </c>
      <c r="F389" t="str">
        <f>("Career Press,")</f>
        <v>Career Press,</v>
      </c>
      <c r="H389" t="str">
        <f t="shared" si="148"/>
        <v>圖書 book</v>
      </c>
      <c r="I389" t="str">
        <f>("TT507 S113 2000")</f>
        <v>TT507 S113 2000</v>
      </c>
      <c r="J389" t="str">
        <f>("1564144461")</f>
        <v>1564144461</v>
      </c>
      <c r="K389" t="str">
        <f>("444")</f>
        <v>444</v>
      </c>
      <c r="L389" t="str">
        <f t="shared" si="143"/>
        <v>2001/10/10 00:00:00</v>
      </c>
      <c r="M389" t="str">
        <f t="shared" ref="M389:M400" si="168">("2018/08/11 13:34:20")</f>
        <v>2018/08/11 13:34:20</v>
      </c>
      <c r="N389" t="str">
        <f>("2000")</f>
        <v>2000</v>
      </c>
      <c r="O389" t="str">
        <f t="shared" si="165"/>
        <v>4F西文書庫 4F Western Language Books</v>
      </c>
      <c r="P389" t="s">
        <v>64</v>
      </c>
      <c r="W389" t="str">
        <f t="shared" si="160"/>
        <v>美國國會圖書分類法</v>
      </c>
      <c r="Y389" t="str">
        <f>("TT507")</f>
        <v>TT507</v>
      </c>
      <c r="Z389" t="str">
        <f t="shared" si="164"/>
        <v>2018/08/11 13:34:19</v>
      </c>
      <c r="AA389" t="str">
        <f t="shared" si="144"/>
        <v>catc</v>
      </c>
      <c r="AC389" t="str">
        <f>("S113")</f>
        <v>S113</v>
      </c>
      <c r="AE389" t="str">
        <f t="shared" si="166"/>
        <v>c.1</v>
      </c>
      <c r="AF389" t="str">
        <f t="shared" si="162"/>
        <v>1.可借圖書</v>
      </c>
      <c r="AG389" t="str">
        <f t="shared" si="167"/>
        <v>在架</v>
      </c>
      <c r="AI389" t="s">
        <v>65</v>
      </c>
      <c r="AK389" t="str">
        <f t="shared" si="145"/>
        <v>一般(Normal)</v>
      </c>
      <c r="AO389" t="s">
        <v>65</v>
      </c>
      <c r="AS389" t="str">
        <f>("c2000. ")</f>
        <v xml:space="preserve">c2000. </v>
      </c>
      <c r="AT389" t="str">
        <f t="shared" si="146"/>
        <v>catc</v>
      </c>
    </row>
    <row r="390" spans="1:48" x14ac:dyDescent="0.25">
      <c r="A390">
        <v>379</v>
      </c>
      <c r="B390" t="str">
        <f>("289272")</f>
        <v>289272</v>
      </c>
      <c r="C390" t="str">
        <f>("W00002415")</f>
        <v>W00002415</v>
      </c>
      <c r="D390" t="str">
        <f>("Resolving conflict :a practical approach /")</f>
        <v>Resolving conflict :a practical approach /</v>
      </c>
      <c r="E390" t="str">
        <f>("Tillett, Gregory,Ph. D. ")</f>
        <v xml:space="preserve">Tillett, Gregory,Ph. D. </v>
      </c>
      <c r="F390" t="str">
        <f>("Oxford University Press,")</f>
        <v>Oxford University Press,</v>
      </c>
      <c r="G390" t="str">
        <f>("2nd ed. ")</f>
        <v xml:space="preserve">2nd ed. </v>
      </c>
      <c r="H390" t="str">
        <f t="shared" si="148"/>
        <v>圖書 book</v>
      </c>
      <c r="I390" t="str">
        <f>("HM1126 T576 1999")</f>
        <v>HM1126 T576 1999</v>
      </c>
      <c r="J390" t="str">
        <f>("0195511514")</f>
        <v>0195511514</v>
      </c>
      <c r="K390" t="str">
        <f>("660")</f>
        <v>660</v>
      </c>
      <c r="L390" t="str">
        <f t="shared" si="143"/>
        <v>2001/10/10 00:00:00</v>
      </c>
      <c r="M390" t="str">
        <f t="shared" si="168"/>
        <v>2018/08/11 13:34:20</v>
      </c>
      <c r="N390" t="str">
        <f>("1999")</f>
        <v>1999</v>
      </c>
      <c r="O390" t="str">
        <f t="shared" si="165"/>
        <v>4F西文書庫 4F Western Language Books</v>
      </c>
      <c r="P390" t="s">
        <v>64</v>
      </c>
      <c r="W390" t="str">
        <f t="shared" si="160"/>
        <v>美國國會圖書分類法</v>
      </c>
      <c r="Y390" t="str">
        <f>("HM1126")</f>
        <v>HM1126</v>
      </c>
      <c r="Z390" t="str">
        <f t="shared" ref="Z390:Z401" si="169">("2018/08/11 13:34:20")</f>
        <v>2018/08/11 13:34:20</v>
      </c>
      <c r="AA390" t="str">
        <f t="shared" si="144"/>
        <v>catc</v>
      </c>
      <c r="AC390" t="str">
        <f>("T576")</f>
        <v>T576</v>
      </c>
      <c r="AE390" t="str">
        <f t="shared" si="166"/>
        <v>c.1</v>
      </c>
      <c r="AF390" t="str">
        <f t="shared" si="162"/>
        <v>1.可借圖書</v>
      </c>
      <c r="AG390" t="str">
        <f t="shared" si="167"/>
        <v>在架</v>
      </c>
      <c r="AI390" t="s">
        <v>65</v>
      </c>
      <c r="AK390" t="str">
        <f t="shared" si="145"/>
        <v>一般(Normal)</v>
      </c>
      <c r="AO390" t="s">
        <v>65</v>
      </c>
      <c r="AS390" t="str">
        <f>("1999. ")</f>
        <v xml:space="preserve">1999. </v>
      </c>
      <c r="AT390" t="str">
        <f t="shared" si="146"/>
        <v>catc</v>
      </c>
    </row>
    <row r="391" spans="1:48" x14ac:dyDescent="0.25">
      <c r="A391">
        <v>380</v>
      </c>
      <c r="B391" t="str">
        <f>("289294")</f>
        <v>289294</v>
      </c>
      <c r="C391" t="str">
        <f>("W00002416")</f>
        <v>W00002416</v>
      </c>
      <c r="D391" t="str">
        <f>("Harvard business review on breakthrough thinking. ")</f>
        <v xml:space="preserve">Harvard business review on breakthrough thinking. </v>
      </c>
      <c r="E391" t="str">
        <f>("")</f>
        <v/>
      </c>
      <c r="F391" t="str">
        <f>("Harvard Business School Press,")</f>
        <v>Harvard Business School Press,</v>
      </c>
      <c r="H391" t="str">
        <f t="shared" si="148"/>
        <v>圖書 book</v>
      </c>
      <c r="I391" t="str">
        <f>("HD53 H341 1999")</f>
        <v>HD53 H341 1999</v>
      </c>
      <c r="J391" t="str">
        <f>("157851181X")</f>
        <v>157851181X</v>
      </c>
      <c r="K391" t="str">
        <f>("544")</f>
        <v>544</v>
      </c>
      <c r="L391" t="str">
        <f t="shared" si="143"/>
        <v>2001/10/10 00:00:00</v>
      </c>
      <c r="M391" t="str">
        <f t="shared" si="168"/>
        <v>2018/08/11 13:34:20</v>
      </c>
      <c r="N391" t="str">
        <f>("1999")</f>
        <v>1999</v>
      </c>
      <c r="O391" t="str">
        <f t="shared" si="165"/>
        <v>4F西文書庫 4F Western Language Books</v>
      </c>
      <c r="P391" t="s">
        <v>64</v>
      </c>
      <c r="W391" t="str">
        <f t="shared" si="160"/>
        <v>美國國會圖書分類法</v>
      </c>
      <c r="Y391" t="str">
        <f>("HD53")</f>
        <v>HD53</v>
      </c>
      <c r="Z391" t="str">
        <f t="shared" si="169"/>
        <v>2018/08/11 13:34:20</v>
      </c>
      <c r="AA391" t="str">
        <f t="shared" si="144"/>
        <v>catc</v>
      </c>
      <c r="AC391" t="str">
        <f>("H341")</f>
        <v>H341</v>
      </c>
      <c r="AE391" t="str">
        <f t="shared" si="166"/>
        <v>c.1</v>
      </c>
      <c r="AF391" t="str">
        <f t="shared" si="162"/>
        <v>1.可借圖書</v>
      </c>
      <c r="AG391" t="str">
        <f t="shared" si="167"/>
        <v>在架</v>
      </c>
      <c r="AI391" t="s">
        <v>65</v>
      </c>
      <c r="AK391" t="str">
        <f t="shared" si="145"/>
        <v>一般(Normal)</v>
      </c>
      <c r="AO391" t="s">
        <v>65</v>
      </c>
      <c r="AS391" t="str">
        <f>("c1999. ")</f>
        <v xml:space="preserve">c1999. </v>
      </c>
      <c r="AT391" t="str">
        <f t="shared" si="146"/>
        <v>catc</v>
      </c>
    </row>
    <row r="392" spans="1:48" x14ac:dyDescent="0.25">
      <c r="A392">
        <v>381</v>
      </c>
      <c r="B392" t="str">
        <f>("289295")</f>
        <v>289295</v>
      </c>
      <c r="C392" t="str">
        <f>("W00002417")</f>
        <v>W00002417</v>
      </c>
      <c r="D392" t="str">
        <f>("Let's go into business together :8 secrets to successful business partnering /")</f>
        <v>Let's go into business together :8 secrets to successful business partnering /</v>
      </c>
      <c r="E392" t="str">
        <f>("Jaffe, Azriela. ")</f>
        <v xml:space="preserve">Jaffe, Azriela. </v>
      </c>
      <c r="F392" t="str">
        <f>("Career Press,")</f>
        <v>Career Press,</v>
      </c>
      <c r="G392" t="str">
        <f>("Rev. ed. ")</f>
        <v xml:space="preserve">Rev. ed. </v>
      </c>
      <c r="H392" t="str">
        <f t="shared" si="148"/>
        <v>圖書 book</v>
      </c>
      <c r="I392" t="str">
        <f>("HD62.7 J23 2001")</f>
        <v>HD62.7 J23 2001</v>
      </c>
      <c r="J392" t="str">
        <f>("1564145131")</f>
        <v>1564145131</v>
      </c>
      <c r="K392" t="str">
        <f>("444")</f>
        <v>444</v>
      </c>
      <c r="L392" t="str">
        <f t="shared" si="143"/>
        <v>2001/10/10 00:00:00</v>
      </c>
      <c r="M392" t="str">
        <f t="shared" si="168"/>
        <v>2018/08/11 13:34:20</v>
      </c>
      <c r="N392" t="str">
        <f>("2001")</f>
        <v>2001</v>
      </c>
      <c r="O392" t="str">
        <f t="shared" si="165"/>
        <v>4F西文書庫 4F Western Language Books</v>
      </c>
      <c r="P392" t="s">
        <v>64</v>
      </c>
      <c r="W392" t="str">
        <f t="shared" si="160"/>
        <v>美國國會圖書分類法</v>
      </c>
      <c r="Y392" t="str">
        <f>("HD62.7")</f>
        <v>HD62.7</v>
      </c>
      <c r="Z392" t="str">
        <f t="shared" si="169"/>
        <v>2018/08/11 13:34:20</v>
      </c>
      <c r="AA392" t="str">
        <f t="shared" si="144"/>
        <v>catc</v>
      </c>
      <c r="AC392" t="str">
        <f>("J23")</f>
        <v>J23</v>
      </c>
      <c r="AE392" t="str">
        <f t="shared" si="166"/>
        <v>c.1</v>
      </c>
      <c r="AF392" t="str">
        <f t="shared" si="162"/>
        <v>1.可借圖書</v>
      </c>
      <c r="AG392" t="str">
        <f t="shared" si="167"/>
        <v>在架</v>
      </c>
      <c r="AI392" t="s">
        <v>65</v>
      </c>
      <c r="AK392" t="str">
        <f t="shared" si="145"/>
        <v>一般(Normal)</v>
      </c>
      <c r="AO392" t="s">
        <v>65</v>
      </c>
      <c r="AS392" t="str">
        <f>("c2001. ")</f>
        <v xml:space="preserve">c2001. </v>
      </c>
      <c r="AT392" t="str">
        <f t="shared" si="146"/>
        <v>catc</v>
      </c>
    </row>
    <row r="393" spans="1:48" x14ac:dyDescent="0.25">
      <c r="A393">
        <v>382</v>
      </c>
      <c r="B393" t="str">
        <f>("289296")</f>
        <v>289296</v>
      </c>
      <c r="C393" t="str">
        <f>("W00002418")</f>
        <v>W00002418</v>
      </c>
      <c r="D393" t="str">
        <f>("Assessing business excellence :a guide to self-assessment /")</f>
        <v>Assessing business excellence :a guide to self-assessment /</v>
      </c>
      <c r="E393" t="str">
        <f>("Porter, L. J.")</f>
        <v>Porter, L. J.</v>
      </c>
      <c r="F393" t="str">
        <f>("Butterworth-Heinemann,")</f>
        <v>Butterworth-Heinemann,</v>
      </c>
      <c r="H393" t="str">
        <f t="shared" si="148"/>
        <v>圖書 book</v>
      </c>
      <c r="I393" t="str">
        <f>("HD62.15 P844 1998")</f>
        <v>HD62.15 P844 1998</v>
      </c>
      <c r="J393" t="str">
        <f>("00750639857")</f>
        <v>00750639857</v>
      </c>
      <c r="K393" t="str">
        <f>("1012")</f>
        <v>1012</v>
      </c>
      <c r="L393" t="str">
        <f t="shared" si="143"/>
        <v>2001/10/10 00:00:00</v>
      </c>
      <c r="M393" t="str">
        <f t="shared" si="168"/>
        <v>2018/08/11 13:34:20</v>
      </c>
      <c r="N393" t="str">
        <f>("1998")</f>
        <v>1998</v>
      </c>
      <c r="O393" t="str">
        <f t="shared" si="165"/>
        <v>4F西文書庫 4F Western Language Books</v>
      </c>
      <c r="P393" t="s">
        <v>64</v>
      </c>
      <c r="W393" t="str">
        <f t="shared" si="160"/>
        <v>美國國會圖書分類法</v>
      </c>
      <c r="Y393" t="str">
        <f>("HD62.15")</f>
        <v>HD62.15</v>
      </c>
      <c r="Z393" t="str">
        <f t="shared" si="169"/>
        <v>2018/08/11 13:34:20</v>
      </c>
      <c r="AA393" t="str">
        <f t="shared" si="144"/>
        <v>catc</v>
      </c>
      <c r="AC393" t="str">
        <f>("P844")</f>
        <v>P844</v>
      </c>
      <c r="AE393" t="str">
        <f t="shared" si="166"/>
        <v>c.1</v>
      </c>
      <c r="AF393" t="str">
        <f t="shared" si="162"/>
        <v>1.可借圖書</v>
      </c>
      <c r="AG393" t="str">
        <f t="shared" si="167"/>
        <v>在架</v>
      </c>
      <c r="AI393" t="s">
        <v>65</v>
      </c>
      <c r="AK393" t="str">
        <f t="shared" si="145"/>
        <v>一般(Normal)</v>
      </c>
      <c r="AO393" t="s">
        <v>65</v>
      </c>
      <c r="AS393" t="str">
        <f>("1996 ")</f>
        <v xml:space="preserve">1996 </v>
      </c>
      <c r="AT393" t="str">
        <f t="shared" si="146"/>
        <v>catc</v>
      </c>
    </row>
    <row r="394" spans="1:48" x14ac:dyDescent="0.25">
      <c r="A394">
        <v>383</v>
      </c>
      <c r="B394" t="str">
        <f>("289297")</f>
        <v>289297</v>
      </c>
      <c r="C394" t="str">
        <f>("W00002419")</f>
        <v>W00002419</v>
      </c>
      <c r="D394" t="str">
        <f>("Asset pricing under asymmetric information :bubbles, crashes, technical analysis, and herding /")</f>
        <v>Asset pricing under asymmetric information :bubbles, crashes, technical analysis, and herding /</v>
      </c>
      <c r="E394" t="str">
        <f>("Brunnermeier, Markus Konrad. ")</f>
        <v xml:space="preserve">Brunnermeier, Markus Konrad. </v>
      </c>
      <c r="F394" t="str">
        <f>("Oxford University Press,")</f>
        <v>Oxford University Press,</v>
      </c>
      <c r="H394" t="str">
        <f t="shared" si="148"/>
        <v>圖書 book</v>
      </c>
      <c r="I394" t="str">
        <f>("HG4636 B897 2001")</f>
        <v>HG4636 B897 2001</v>
      </c>
      <c r="J394" t="str">
        <f>("0198296983")</f>
        <v>0198296983</v>
      </c>
      <c r="K394" t="str">
        <f>("1100")</f>
        <v>1100</v>
      </c>
      <c r="L394" t="str">
        <f t="shared" si="143"/>
        <v>2001/10/10 00:00:00</v>
      </c>
      <c r="M394" t="str">
        <f t="shared" si="168"/>
        <v>2018/08/11 13:34:20</v>
      </c>
      <c r="N394" t="str">
        <f>("2001")</f>
        <v>2001</v>
      </c>
      <c r="O394" t="str">
        <f t="shared" si="165"/>
        <v>4F西文書庫 4F Western Language Books</v>
      </c>
      <c r="P394" t="s">
        <v>64</v>
      </c>
      <c r="W394" t="str">
        <f t="shared" si="160"/>
        <v>美國國會圖書分類法</v>
      </c>
      <c r="Y394" t="str">
        <f>("HG4636")</f>
        <v>HG4636</v>
      </c>
      <c r="Z394" t="str">
        <f t="shared" si="169"/>
        <v>2018/08/11 13:34:20</v>
      </c>
      <c r="AA394" t="str">
        <f t="shared" si="144"/>
        <v>catc</v>
      </c>
      <c r="AC394" t="str">
        <f>("B897")</f>
        <v>B897</v>
      </c>
      <c r="AE394" t="str">
        <f t="shared" si="166"/>
        <v>c.1</v>
      </c>
      <c r="AF394" t="str">
        <f t="shared" si="162"/>
        <v>1.可借圖書</v>
      </c>
      <c r="AG394" t="str">
        <f t="shared" si="167"/>
        <v>在架</v>
      </c>
      <c r="AI394" t="s">
        <v>65</v>
      </c>
      <c r="AK394" t="str">
        <f t="shared" si="145"/>
        <v>一般(Normal)</v>
      </c>
      <c r="AO394" t="s">
        <v>65</v>
      </c>
      <c r="AS394" t="str">
        <f>("2001. ")</f>
        <v xml:space="preserve">2001. </v>
      </c>
      <c r="AT394" t="str">
        <f t="shared" si="146"/>
        <v>catc</v>
      </c>
    </row>
    <row r="395" spans="1:48" x14ac:dyDescent="0.25">
      <c r="A395">
        <v>384</v>
      </c>
      <c r="B395" t="str">
        <f>("289298")</f>
        <v>289298</v>
      </c>
      <c r="C395" t="str">
        <f>("W00002420")</f>
        <v>W00002420</v>
      </c>
      <c r="D395" t="str">
        <f>("Winning teams :making your team productive &amp; successful /")</f>
        <v>Winning teams :making your team productive &amp; successful /</v>
      </c>
      <c r="E395" t="str">
        <f>("Capezio, Peter,1947- ")</f>
        <v xml:space="preserve">Capezio, Peter,1947- </v>
      </c>
      <c r="F395" t="str">
        <f>("Career Press,")</f>
        <v>Career Press,</v>
      </c>
      <c r="H395" t="str">
        <f t="shared" si="148"/>
        <v>圖書 book</v>
      </c>
      <c r="I395" t="str">
        <f>("HD66 C237 1998")</f>
        <v>HD66 C237 1998</v>
      </c>
      <c r="J395" t="str">
        <f>("1564143570")</f>
        <v>1564143570</v>
      </c>
      <c r="K395" t="str">
        <f>("328")</f>
        <v>328</v>
      </c>
      <c r="L395" t="str">
        <f t="shared" si="143"/>
        <v>2001/10/10 00:00:00</v>
      </c>
      <c r="M395" t="str">
        <f t="shared" si="168"/>
        <v>2018/08/11 13:34:20</v>
      </c>
      <c r="N395" t="str">
        <f>("1998")</f>
        <v>1998</v>
      </c>
      <c r="O395" t="str">
        <f t="shared" si="165"/>
        <v>4F西文書庫 4F Western Language Books</v>
      </c>
      <c r="P395" t="s">
        <v>64</v>
      </c>
      <c r="W395" t="str">
        <f t="shared" si="160"/>
        <v>美國國會圖書分類法</v>
      </c>
      <c r="Y395" t="str">
        <f>("HD66")</f>
        <v>HD66</v>
      </c>
      <c r="Z395" t="str">
        <f t="shared" si="169"/>
        <v>2018/08/11 13:34:20</v>
      </c>
      <c r="AA395" t="str">
        <f t="shared" si="144"/>
        <v>catc</v>
      </c>
      <c r="AC395" t="str">
        <f>("C237")</f>
        <v>C237</v>
      </c>
      <c r="AE395" t="str">
        <f t="shared" si="166"/>
        <v>c.1</v>
      </c>
      <c r="AF395" t="str">
        <f t="shared" si="162"/>
        <v>1.可借圖書</v>
      </c>
      <c r="AG395" t="str">
        <f t="shared" si="167"/>
        <v>在架</v>
      </c>
      <c r="AI395" t="s">
        <v>65</v>
      </c>
      <c r="AK395" t="str">
        <f t="shared" si="145"/>
        <v>一般(Normal)</v>
      </c>
      <c r="AO395" t="s">
        <v>65</v>
      </c>
      <c r="AS395" t="str">
        <f>("c1998. ")</f>
        <v xml:space="preserve">c1998. </v>
      </c>
      <c r="AT395" t="str">
        <f t="shared" si="146"/>
        <v>catc</v>
      </c>
    </row>
    <row r="396" spans="1:48" x14ac:dyDescent="0.25">
      <c r="A396">
        <v>385</v>
      </c>
      <c r="B396" t="str">
        <f>("289299")</f>
        <v>289299</v>
      </c>
      <c r="C396" t="str">
        <f>("W00002421")</f>
        <v>W00002421</v>
      </c>
      <c r="D396" t="str">
        <f>("Reaching for the knowledge edge :how the knowing corporation seeks, shares &amp; uses knowledge for strategic advantage /")</f>
        <v>Reaching for the knowledge edge :how the knowing corporation seeks, shares &amp; uses knowledge for strategic advantage /</v>
      </c>
      <c r="E396" t="str">
        <f>("Hatten, Kenneth J. ")</f>
        <v xml:space="preserve">Hatten, Kenneth J. </v>
      </c>
      <c r="F396" t="str">
        <f>("AMACOM,")</f>
        <v>AMACOM,</v>
      </c>
      <c r="H396" t="str">
        <f t="shared" si="148"/>
        <v>圖書 book</v>
      </c>
      <c r="I396" t="str">
        <f>("HD30.2 H366 2001")</f>
        <v>HD30.2 H366 2001</v>
      </c>
      <c r="J396" t="str">
        <f>("0814406343")</f>
        <v>0814406343</v>
      </c>
      <c r="K396" t="str">
        <f>("824")</f>
        <v>824</v>
      </c>
      <c r="L396" t="str">
        <f t="shared" ref="L396:L460" si="170">("2001/10/10 00:00:00")</f>
        <v>2001/10/10 00:00:00</v>
      </c>
      <c r="M396" t="str">
        <f t="shared" si="168"/>
        <v>2018/08/11 13:34:20</v>
      </c>
      <c r="N396" t="str">
        <f>("2001")</f>
        <v>2001</v>
      </c>
      <c r="O396" t="str">
        <f t="shared" si="165"/>
        <v>4F西文書庫 4F Western Language Books</v>
      </c>
      <c r="P396" t="s">
        <v>64</v>
      </c>
      <c r="W396" t="str">
        <f t="shared" si="160"/>
        <v>美國國會圖書分類法</v>
      </c>
      <c r="Y396" t="str">
        <f>("HD30.2")</f>
        <v>HD30.2</v>
      </c>
      <c r="Z396" t="str">
        <f t="shared" si="169"/>
        <v>2018/08/11 13:34:20</v>
      </c>
      <c r="AA396" t="str">
        <f t="shared" ref="AA396:AA459" si="171">("catc")</f>
        <v>catc</v>
      </c>
      <c r="AC396" t="str">
        <f>("H366")</f>
        <v>H366</v>
      </c>
      <c r="AE396" t="str">
        <f t="shared" si="166"/>
        <v>c.1</v>
      </c>
      <c r="AF396" t="str">
        <f t="shared" si="162"/>
        <v>1.可借圖書</v>
      </c>
      <c r="AG396" t="str">
        <f t="shared" si="167"/>
        <v>在架</v>
      </c>
      <c r="AI396" t="s">
        <v>65</v>
      </c>
      <c r="AK396" t="str">
        <f t="shared" ref="AK396:AK459" si="172">("一般(Normal)")</f>
        <v>一般(Normal)</v>
      </c>
      <c r="AO396" t="s">
        <v>65</v>
      </c>
      <c r="AS396" t="str">
        <f>("c2001. ")</f>
        <v xml:space="preserve">c2001. </v>
      </c>
      <c r="AT396" t="str">
        <f t="shared" ref="AT396:AT459" si="173">("catc")</f>
        <v>catc</v>
      </c>
    </row>
    <row r="397" spans="1:48" x14ac:dyDescent="0.25">
      <c r="A397">
        <v>386</v>
      </c>
      <c r="B397" t="str">
        <f>("289273")</f>
        <v>289273</v>
      </c>
      <c r="C397" t="str">
        <f>("W00002422")</f>
        <v>W00002422</v>
      </c>
      <c r="D397" t="str">
        <f>("50 ways to create great relationships :how to stop taking and start giving /")</f>
        <v>50 ways to create great relationships :how to stop taking and start giving /</v>
      </c>
      <c r="E397" t="str">
        <f>("Chandler, Steve,1944- ")</f>
        <v xml:space="preserve">Chandler, Steve,1944- </v>
      </c>
      <c r="F397" t="str">
        <f>("Career Press,")</f>
        <v>Career Press,</v>
      </c>
      <c r="H397" t="str">
        <f t="shared" si="148"/>
        <v>圖書 book</v>
      </c>
      <c r="I397" t="str">
        <f>("HM1106 C455 2000")</f>
        <v>HM1106 C455 2000</v>
      </c>
      <c r="J397" t="str">
        <f>("1564145107")</f>
        <v>1564145107</v>
      </c>
      <c r="K397" t="str">
        <f>("564")</f>
        <v>564</v>
      </c>
      <c r="L397" t="str">
        <f t="shared" si="170"/>
        <v>2001/10/10 00:00:00</v>
      </c>
      <c r="M397" t="str">
        <f t="shared" si="168"/>
        <v>2018/08/11 13:34:20</v>
      </c>
      <c r="N397" t="str">
        <f>("2000")</f>
        <v>2000</v>
      </c>
      <c r="O397" t="str">
        <f t="shared" si="165"/>
        <v>4F西文書庫 4F Western Language Books</v>
      </c>
      <c r="P397" t="s">
        <v>64</v>
      </c>
      <c r="W397" t="str">
        <f t="shared" si="160"/>
        <v>美國國會圖書分類法</v>
      </c>
      <c r="Y397" t="str">
        <f>("HM1106")</f>
        <v>HM1106</v>
      </c>
      <c r="Z397" t="str">
        <f t="shared" si="169"/>
        <v>2018/08/11 13:34:20</v>
      </c>
      <c r="AA397" t="str">
        <f t="shared" si="171"/>
        <v>catc</v>
      </c>
      <c r="AC397" t="str">
        <f>("C455")</f>
        <v>C455</v>
      </c>
      <c r="AE397" t="str">
        <f t="shared" si="166"/>
        <v>c.1</v>
      </c>
      <c r="AF397" t="str">
        <f t="shared" si="162"/>
        <v>1.可借圖書</v>
      </c>
      <c r="AG397" t="str">
        <f t="shared" si="167"/>
        <v>在架</v>
      </c>
      <c r="AI397" t="s">
        <v>65</v>
      </c>
      <c r="AK397" t="str">
        <f t="shared" si="172"/>
        <v>一般(Normal)</v>
      </c>
      <c r="AO397" t="s">
        <v>65</v>
      </c>
      <c r="AS397" t="str">
        <f>("c2000. ")</f>
        <v xml:space="preserve">c2000. </v>
      </c>
      <c r="AT397" t="str">
        <f t="shared" si="173"/>
        <v>catc</v>
      </c>
    </row>
    <row r="398" spans="1:48" x14ac:dyDescent="0.25">
      <c r="A398">
        <v>387</v>
      </c>
      <c r="B398" t="str">
        <f>("289274")</f>
        <v>289274</v>
      </c>
      <c r="C398" t="str">
        <f>("W00002423")</f>
        <v>W00002423</v>
      </c>
      <c r="D398" t="str">
        <f>("101 best home businesses /")</f>
        <v>101 best home businesses /</v>
      </c>
      <c r="E398" t="str">
        <f>("Ramsey, Dan,1945- ")</f>
        <v xml:space="preserve">Ramsey, Dan,1945- </v>
      </c>
      <c r="F398" t="str">
        <f>("Career Press,")</f>
        <v>Career Press,</v>
      </c>
      <c r="G398" t="str">
        <f>("2nd ed. ")</f>
        <v xml:space="preserve">2nd ed. </v>
      </c>
      <c r="H398" t="str">
        <f t="shared" si="148"/>
        <v>圖書 book</v>
      </c>
      <c r="I398" t="str">
        <f>("HD62.38 R183 2001")</f>
        <v>HD62.38 R183 2001</v>
      </c>
      <c r="J398" t="str">
        <f>("156414531X")</f>
        <v>156414531X</v>
      </c>
      <c r="K398" t="str">
        <f>("444")</f>
        <v>444</v>
      </c>
      <c r="L398" t="str">
        <f t="shared" si="170"/>
        <v>2001/10/10 00:00:00</v>
      </c>
      <c r="M398" t="str">
        <f t="shared" si="168"/>
        <v>2018/08/11 13:34:20</v>
      </c>
      <c r="N398" t="str">
        <f>("2001")</f>
        <v>2001</v>
      </c>
      <c r="O398" t="str">
        <f t="shared" si="165"/>
        <v>4F西文書庫 4F Western Language Books</v>
      </c>
      <c r="P398" t="s">
        <v>64</v>
      </c>
      <c r="W398" t="str">
        <f t="shared" si="160"/>
        <v>美國國會圖書分類法</v>
      </c>
      <c r="Y398" t="str">
        <f>("HD62.38")</f>
        <v>HD62.38</v>
      </c>
      <c r="Z398" t="str">
        <f t="shared" si="169"/>
        <v>2018/08/11 13:34:20</v>
      </c>
      <c r="AA398" t="str">
        <f t="shared" si="171"/>
        <v>catc</v>
      </c>
      <c r="AC398" t="str">
        <f>("R183")</f>
        <v>R183</v>
      </c>
      <c r="AE398" t="str">
        <f t="shared" si="166"/>
        <v>c.1</v>
      </c>
      <c r="AF398" t="str">
        <f t="shared" si="162"/>
        <v>1.可借圖書</v>
      </c>
      <c r="AG398" t="str">
        <f t="shared" si="167"/>
        <v>在架</v>
      </c>
      <c r="AI398" t="s">
        <v>65</v>
      </c>
      <c r="AK398" t="str">
        <f t="shared" si="172"/>
        <v>一般(Normal)</v>
      </c>
      <c r="AO398" t="s">
        <v>65</v>
      </c>
      <c r="AS398" t="str">
        <f>("2001. ")</f>
        <v xml:space="preserve">2001. </v>
      </c>
      <c r="AT398" t="str">
        <f t="shared" si="173"/>
        <v>catc</v>
      </c>
    </row>
    <row r="399" spans="1:48" x14ac:dyDescent="0.25">
      <c r="A399">
        <v>388</v>
      </c>
      <c r="B399" t="str">
        <f>("289275")</f>
        <v>289275</v>
      </c>
      <c r="C399" t="str">
        <f>("W00002424")</f>
        <v>W00002424</v>
      </c>
      <c r="D399" t="str">
        <f>("Radical innovation :how mature companies can outsmart upstarts /")</f>
        <v>Radical innovation :how mature companies can outsmart upstarts /</v>
      </c>
      <c r="E399" t="str">
        <f>("Leifer, Richard,1942- ")</f>
        <v xml:space="preserve">Leifer, Richard,1942- </v>
      </c>
      <c r="F399" t="str">
        <f>("Harvard Business School Press,")</f>
        <v>Harvard Business School Press,</v>
      </c>
      <c r="H399" t="str">
        <f t="shared" si="148"/>
        <v>圖書 book</v>
      </c>
      <c r="I399" t="str">
        <f>("HD58.87 L525 2000")</f>
        <v>HD58.87 L525 2000</v>
      </c>
      <c r="K399" t="str">
        <f>("884")</f>
        <v>884</v>
      </c>
      <c r="L399" t="str">
        <f t="shared" si="170"/>
        <v>2001/10/10 00:00:00</v>
      </c>
      <c r="M399" t="str">
        <f t="shared" si="168"/>
        <v>2018/08/11 13:34:20</v>
      </c>
      <c r="N399" t="str">
        <f>("2000")</f>
        <v>2000</v>
      </c>
      <c r="O399" t="str">
        <f t="shared" si="165"/>
        <v>4F西文書庫 4F Western Language Books</v>
      </c>
      <c r="P399" t="s">
        <v>64</v>
      </c>
      <c r="W399" t="str">
        <f t="shared" si="160"/>
        <v>美國國會圖書分類法</v>
      </c>
      <c r="Y399" t="str">
        <f>("HD58.87")</f>
        <v>HD58.87</v>
      </c>
      <c r="Z399" t="str">
        <f t="shared" si="169"/>
        <v>2018/08/11 13:34:20</v>
      </c>
      <c r="AA399" t="str">
        <f t="shared" si="171"/>
        <v>catc</v>
      </c>
      <c r="AC399" t="str">
        <f>("L525")</f>
        <v>L525</v>
      </c>
      <c r="AE399" t="str">
        <f t="shared" si="166"/>
        <v>c.1</v>
      </c>
      <c r="AF399" t="str">
        <f t="shared" si="162"/>
        <v>1.可借圖書</v>
      </c>
      <c r="AG399" t="str">
        <f t="shared" si="167"/>
        <v>在架</v>
      </c>
      <c r="AI399" t="s">
        <v>65</v>
      </c>
      <c r="AK399" t="str">
        <f t="shared" si="172"/>
        <v>一般(Normal)</v>
      </c>
      <c r="AO399" t="s">
        <v>65</v>
      </c>
      <c r="AS399" t="str">
        <f>("c2000 ")</f>
        <v xml:space="preserve">c2000 </v>
      </c>
      <c r="AT399" t="str">
        <f t="shared" si="173"/>
        <v>catc</v>
      </c>
    </row>
    <row r="400" spans="1:48" x14ac:dyDescent="0.25">
      <c r="A400">
        <v>389</v>
      </c>
      <c r="B400" t="str">
        <f>("289276")</f>
        <v>289276</v>
      </c>
      <c r="C400" t="str">
        <f>("W00002425")</f>
        <v>W00002425</v>
      </c>
      <c r="D400" t="str">
        <f>("Institutions and organizations /")</f>
        <v>Institutions and organizations /</v>
      </c>
      <c r="E400" t="str">
        <f>("Scott, W. Richard. ")</f>
        <v xml:space="preserve">Scott, W. Richard. </v>
      </c>
      <c r="F400" t="str">
        <f>("Sage Publications,")</f>
        <v>Sage Publications,</v>
      </c>
      <c r="G400" t="str">
        <f>("2nd ed. ")</f>
        <v xml:space="preserve">2nd ed. </v>
      </c>
      <c r="H400" t="str">
        <f t="shared" si="148"/>
        <v>圖書 book</v>
      </c>
      <c r="I400" t="str">
        <f>("HM786 S425 2001")</f>
        <v>HM786 S425 2001</v>
      </c>
      <c r="J400" t="str">
        <f>("0761920005;0761920013")</f>
        <v>0761920005;0761920013</v>
      </c>
      <c r="K400" t="str">
        <f>("1012")</f>
        <v>1012</v>
      </c>
      <c r="L400" t="str">
        <f t="shared" si="170"/>
        <v>2001/10/10 00:00:00</v>
      </c>
      <c r="M400" t="str">
        <f t="shared" si="168"/>
        <v>2018/08/11 13:34:20</v>
      </c>
      <c r="N400" t="str">
        <f>("2001")</f>
        <v>2001</v>
      </c>
      <c r="O400" t="str">
        <f t="shared" si="165"/>
        <v>4F西文書庫 4F Western Language Books</v>
      </c>
      <c r="P400" t="s">
        <v>64</v>
      </c>
      <c r="W400" t="str">
        <f t="shared" si="160"/>
        <v>美國國會圖書分類法</v>
      </c>
      <c r="Y400" t="str">
        <f>("HM786")</f>
        <v>HM786</v>
      </c>
      <c r="Z400" t="str">
        <f t="shared" si="169"/>
        <v>2018/08/11 13:34:20</v>
      </c>
      <c r="AA400" t="str">
        <f t="shared" si="171"/>
        <v>catc</v>
      </c>
      <c r="AC400" t="str">
        <f>("S425")</f>
        <v>S425</v>
      </c>
      <c r="AE400" t="str">
        <f t="shared" si="166"/>
        <v>c.1</v>
      </c>
      <c r="AF400" t="str">
        <f t="shared" si="162"/>
        <v>1.可借圖書</v>
      </c>
      <c r="AG400" t="str">
        <f t="shared" si="167"/>
        <v>在架</v>
      </c>
      <c r="AI400" t="s">
        <v>65</v>
      </c>
      <c r="AK400" t="str">
        <f t="shared" si="172"/>
        <v>一般(Normal)</v>
      </c>
      <c r="AO400" t="s">
        <v>65</v>
      </c>
      <c r="AS400" t="str">
        <f>("c2001. ")</f>
        <v xml:space="preserve">c2001. </v>
      </c>
      <c r="AT400" t="str">
        <f t="shared" si="173"/>
        <v>catc</v>
      </c>
    </row>
    <row r="401" spans="1:48" x14ac:dyDescent="0.25">
      <c r="A401">
        <v>390</v>
      </c>
      <c r="B401" t="str">
        <f>("289277")</f>
        <v>289277</v>
      </c>
      <c r="C401" t="str">
        <f>("W00002426")</f>
        <v>W00002426</v>
      </c>
      <c r="D401" t="str">
        <f>("The power of now :how winning companies sense and respond to change using real-time technology /")</f>
        <v>The power of now :how winning companies sense and respond to change using real-time technology /</v>
      </c>
      <c r="E401" t="str">
        <f>("Ranadive, Vivek. ")</f>
        <v xml:space="preserve">Ranadive, Vivek. </v>
      </c>
      <c r="F401" t="str">
        <f>("McGraw-Hill,")</f>
        <v>McGraw-Hill,</v>
      </c>
      <c r="H401" t="str">
        <f t="shared" si="148"/>
        <v>圖書 book</v>
      </c>
      <c r="I401" t="str">
        <f>("HF5548.3 R185 1999")</f>
        <v>HF5548.3 R185 1999</v>
      </c>
      <c r="J401" t="str">
        <f>("0071356843")</f>
        <v>0071356843</v>
      </c>
      <c r="K401" t="str">
        <f>("864")</f>
        <v>864</v>
      </c>
      <c r="L401" t="str">
        <f t="shared" si="170"/>
        <v>2001/10/10 00:00:00</v>
      </c>
      <c r="M401" t="str">
        <f t="shared" ref="M401:M409" si="174">("2018/08/11 13:34:21")</f>
        <v>2018/08/11 13:34:21</v>
      </c>
      <c r="N401" t="str">
        <f>("1999")</f>
        <v>1999</v>
      </c>
      <c r="O401" t="str">
        <f t="shared" si="165"/>
        <v>4F西文書庫 4F Western Language Books</v>
      </c>
      <c r="P401" t="s">
        <v>64</v>
      </c>
      <c r="W401" t="str">
        <f t="shared" si="160"/>
        <v>美國國會圖書分類法</v>
      </c>
      <c r="Y401" t="str">
        <f>("HF5548.3")</f>
        <v>HF5548.3</v>
      </c>
      <c r="Z401" t="str">
        <f t="shared" si="169"/>
        <v>2018/08/11 13:34:20</v>
      </c>
      <c r="AA401" t="str">
        <f t="shared" si="171"/>
        <v>catc</v>
      </c>
      <c r="AC401" t="str">
        <f>("R185")</f>
        <v>R185</v>
      </c>
      <c r="AE401" t="str">
        <f t="shared" si="166"/>
        <v>c.1</v>
      </c>
      <c r="AF401" t="str">
        <f t="shared" si="162"/>
        <v>1.可借圖書</v>
      </c>
      <c r="AG401" t="str">
        <f t="shared" si="167"/>
        <v>在架</v>
      </c>
      <c r="AI401" t="s">
        <v>65</v>
      </c>
      <c r="AK401" t="str">
        <f t="shared" si="172"/>
        <v>一般(Normal)</v>
      </c>
      <c r="AO401" t="s">
        <v>65</v>
      </c>
      <c r="AS401" t="str">
        <f>("c1999. ")</f>
        <v xml:space="preserve">c1999. </v>
      </c>
      <c r="AT401" t="str">
        <f t="shared" si="173"/>
        <v>catc</v>
      </c>
    </row>
    <row r="402" spans="1:48" x14ac:dyDescent="0.25">
      <c r="A402">
        <v>391</v>
      </c>
      <c r="B402" t="str">
        <f>("289278")</f>
        <v>289278</v>
      </c>
      <c r="C402" t="str">
        <f>("W00002427")</f>
        <v>W00002427</v>
      </c>
      <c r="D402" t="str">
        <f>("Organizational stress : a review and critique of theory, research, and applications /")</f>
        <v>Organizational stress : a review and critique of theory, research, and applications /</v>
      </c>
      <c r="E402" t="str">
        <f>("Cooper, Cary L. ")</f>
        <v xml:space="preserve">Cooper, Cary L. </v>
      </c>
      <c r="F402" t="str">
        <f>("Sage,")</f>
        <v>Sage,</v>
      </c>
      <c r="H402" t="str">
        <f t="shared" si="148"/>
        <v>圖書 book</v>
      </c>
      <c r="I402" t="str">
        <f>("HF5548.85 C777 2001")</f>
        <v>HF5548.85 C777 2001</v>
      </c>
      <c r="J402" t="str">
        <f>("0761914811")</f>
        <v>0761914811</v>
      </c>
      <c r="K402" t="str">
        <f>("836")</f>
        <v>836</v>
      </c>
      <c r="L402" t="str">
        <f t="shared" si="170"/>
        <v>2001/10/10 00:00:00</v>
      </c>
      <c r="M402" t="str">
        <f t="shared" si="174"/>
        <v>2018/08/11 13:34:21</v>
      </c>
      <c r="N402" t="str">
        <f>("2001")</f>
        <v>2001</v>
      </c>
      <c r="O402" t="str">
        <f t="shared" si="165"/>
        <v>4F西文書庫 4F Western Language Books</v>
      </c>
      <c r="P402" t="s">
        <v>64</v>
      </c>
      <c r="W402" t="str">
        <f t="shared" si="160"/>
        <v>美國國會圖書分類法</v>
      </c>
      <c r="Y402" t="str">
        <f>("HF5548.85")</f>
        <v>HF5548.85</v>
      </c>
      <c r="Z402" t="str">
        <f t="shared" ref="Z402:Z409" si="175">("2018/08/11 13:34:21")</f>
        <v>2018/08/11 13:34:21</v>
      </c>
      <c r="AA402" t="str">
        <f t="shared" si="171"/>
        <v>catc</v>
      </c>
      <c r="AC402" t="str">
        <f>("C777")</f>
        <v>C777</v>
      </c>
      <c r="AE402" t="str">
        <f t="shared" si="166"/>
        <v>c.1</v>
      </c>
      <c r="AF402" t="str">
        <f t="shared" si="162"/>
        <v>1.可借圖書</v>
      </c>
      <c r="AG402" t="str">
        <f t="shared" si="167"/>
        <v>在架</v>
      </c>
      <c r="AI402" t="s">
        <v>65</v>
      </c>
      <c r="AK402" t="str">
        <f t="shared" si="172"/>
        <v>一般(Normal)</v>
      </c>
      <c r="AO402" t="s">
        <v>65</v>
      </c>
      <c r="AS402" t="str">
        <f>("c2001. ")</f>
        <v xml:space="preserve">c2001. </v>
      </c>
      <c r="AT402" t="str">
        <f t="shared" si="173"/>
        <v>catc</v>
      </c>
    </row>
    <row r="403" spans="1:48" x14ac:dyDescent="0.25">
      <c r="A403">
        <v>392</v>
      </c>
      <c r="B403" t="str">
        <f>("289279")</f>
        <v>289279</v>
      </c>
      <c r="C403" t="str">
        <f>("W00002428")</f>
        <v>W00002428</v>
      </c>
      <c r="D403" t="str">
        <f>("Radical E :from GE to Enron - lessons on how to rule the web /")</f>
        <v>Radical E :from GE to Enron - lessons on how to rule the web /</v>
      </c>
      <c r="E403" t="str">
        <f>("Kurtzman, Joel")</f>
        <v>Kurtzman, Joel</v>
      </c>
      <c r="F403" t="str">
        <f>("John Wiley &amp; Sons,")</f>
        <v>John Wiley &amp; Sons,</v>
      </c>
      <c r="H403" t="str">
        <f t="shared" si="148"/>
        <v>圖書 book</v>
      </c>
      <c r="I403" t="str">
        <f>("HF5548.32 K95 2001")</f>
        <v>HF5548.32 K95 2001</v>
      </c>
      <c r="J403" t="str">
        <f>("0471410470")</f>
        <v>0471410470</v>
      </c>
      <c r="K403" t="str">
        <f>("848")</f>
        <v>848</v>
      </c>
      <c r="L403" t="str">
        <f t="shared" si="170"/>
        <v>2001/10/10 00:00:00</v>
      </c>
      <c r="M403" t="str">
        <f t="shared" si="174"/>
        <v>2018/08/11 13:34:21</v>
      </c>
      <c r="N403" t="str">
        <f>("2001")</f>
        <v>2001</v>
      </c>
      <c r="O403" t="str">
        <f t="shared" si="165"/>
        <v>4F西文書庫 4F Western Language Books</v>
      </c>
      <c r="P403" t="s">
        <v>64</v>
      </c>
      <c r="S403" t="str">
        <f>("x,213p. ;")</f>
        <v>x,213p. ;</v>
      </c>
      <c r="U403" t="str">
        <f>("24 cm")</f>
        <v>24 cm</v>
      </c>
      <c r="W403" t="str">
        <f t="shared" si="160"/>
        <v>美國國會圖書分類法</v>
      </c>
      <c r="Y403" t="str">
        <f>("HF5548.32")</f>
        <v>HF5548.32</v>
      </c>
      <c r="Z403" t="str">
        <f t="shared" si="175"/>
        <v>2018/08/11 13:34:21</v>
      </c>
      <c r="AA403" t="str">
        <f t="shared" si="171"/>
        <v>catc</v>
      </c>
      <c r="AC403" t="str">
        <f>("K95")</f>
        <v>K95</v>
      </c>
      <c r="AE403" t="str">
        <f t="shared" si="166"/>
        <v>c.1</v>
      </c>
      <c r="AF403" t="str">
        <f t="shared" si="162"/>
        <v>1.可借圖書</v>
      </c>
      <c r="AG403" t="str">
        <f t="shared" si="167"/>
        <v>在架</v>
      </c>
      <c r="AI403" t="s">
        <v>65</v>
      </c>
      <c r="AK403" t="str">
        <f t="shared" si="172"/>
        <v>一般(Normal)</v>
      </c>
      <c r="AO403" t="s">
        <v>65</v>
      </c>
      <c r="AS403" t="str">
        <f>("c2001")</f>
        <v>c2001</v>
      </c>
      <c r="AT403" t="str">
        <f t="shared" si="173"/>
        <v>catc</v>
      </c>
    </row>
    <row r="404" spans="1:48" x14ac:dyDescent="0.25">
      <c r="A404">
        <v>393</v>
      </c>
      <c r="B404" t="str">
        <f>("289300")</f>
        <v>289300</v>
      </c>
      <c r="C404" t="str">
        <f>("W00002429")</f>
        <v>W00002429</v>
      </c>
      <c r="D404" t="str">
        <f>("Making a world of difference :IT in a global context /")</f>
        <v>Making a world of difference :IT in a global context /</v>
      </c>
      <c r="E404" t="str">
        <f>("Walsham, Geoffrey ")</f>
        <v xml:space="preserve">Walsham, Geoffrey </v>
      </c>
      <c r="F404" t="str">
        <f>("J. Wiley,")</f>
        <v>J. Wiley,</v>
      </c>
      <c r="H404" t="str">
        <f t="shared" si="148"/>
        <v>圖書 book</v>
      </c>
      <c r="I404" t="str">
        <f>("HM221 W223 2001")</f>
        <v>HM221 W223 2001</v>
      </c>
      <c r="J404" t="str">
        <f>("0471877247")</f>
        <v>0471877247</v>
      </c>
      <c r="K404" t="str">
        <f>("1216")</f>
        <v>1216</v>
      </c>
      <c r="L404" t="str">
        <f t="shared" si="170"/>
        <v>2001/10/10 00:00:00</v>
      </c>
      <c r="M404" t="str">
        <f t="shared" si="174"/>
        <v>2018/08/11 13:34:21</v>
      </c>
      <c r="N404" t="str">
        <f>("2001")</f>
        <v>2001</v>
      </c>
      <c r="O404" t="str">
        <f t="shared" si="165"/>
        <v>4F西文書庫 4F Western Language Books</v>
      </c>
      <c r="P404" t="s">
        <v>64</v>
      </c>
      <c r="W404" t="str">
        <f t="shared" si="160"/>
        <v>美國國會圖書分類法</v>
      </c>
      <c r="Y404" t="str">
        <f>("HM221")</f>
        <v>HM221</v>
      </c>
      <c r="Z404" t="str">
        <f t="shared" si="175"/>
        <v>2018/08/11 13:34:21</v>
      </c>
      <c r="AA404" t="str">
        <f t="shared" si="171"/>
        <v>catc</v>
      </c>
      <c r="AC404" t="str">
        <f>("W223")</f>
        <v>W223</v>
      </c>
      <c r="AE404" t="str">
        <f t="shared" si="166"/>
        <v>c.1</v>
      </c>
      <c r="AF404" t="str">
        <f t="shared" si="162"/>
        <v>1.可借圖書</v>
      </c>
      <c r="AG404" t="str">
        <f t="shared" si="167"/>
        <v>在架</v>
      </c>
      <c r="AI404" t="s">
        <v>65</v>
      </c>
      <c r="AK404" t="str">
        <f t="shared" si="172"/>
        <v>一般(Normal)</v>
      </c>
      <c r="AO404" t="s">
        <v>65</v>
      </c>
      <c r="AS404" t="str">
        <f>("c2001 ")</f>
        <v xml:space="preserve">c2001 </v>
      </c>
      <c r="AT404" t="str">
        <f t="shared" si="173"/>
        <v>catc</v>
      </c>
    </row>
    <row r="405" spans="1:48" x14ac:dyDescent="0.25">
      <c r="A405">
        <v>394</v>
      </c>
      <c r="B405" t="str">
        <f>("289301")</f>
        <v>289301</v>
      </c>
      <c r="C405" t="str">
        <f>("W00002430")</f>
        <v>W00002430</v>
      </c>
      <c r="D405" t="str">
        <f>("1999 lippincott's nursing durg guide/ ")</f>
        <v xml:space="preserve">1999 lippincott's nursing durg guide/ </v>
      </c>
      <c r="E405" t="str">
        <f>("Karch,Amy M. ")</f>
        <v xml:space="preserve">Karch,Amy M. </v>
      </c>
      <c r="F405" t="str">
        <f>("Lippincott-Raven, ")</f>
        <v xml:space="preserve">Lippincott-Raven, </v>
      </c>
      <c r="G405" t="str">
        <f>("3rd ed.")</f>
        <v>3rd ed.</v>
      </c>
      <c r="H405" t="str">
        <f t="shared" ref="H405:H468" si="176">("圖書 book")</f>
        <v>圖書 book</v>
      </c>
      <c r="I405" t="str">
        <f>("RB38 K18 1999")</f>
        <v>RB38 K18 1999</v>
      </c>
      <c r="J405" t="str">
        <f>("0781717310")</f>
        <v>0781717310</v>
      </c>
      <c r="K405" t="str">
        <f>("924")</f>
        <v>924</v>
      </c>
      <c r="L405" t="str">
        <f t="shared" si="170"/>
        <v>2001/10/10 00:00:00</v>
      </c>
      <c r="M405" t="str">
        <f t="shared" si="174"/>
        <v>2018/08/11 13:34:21</v>
      </c>
      <c r="N405" t="str">
        <f>("1999")</f>
        <v>1999</v>
      </c>
      <c r="O405" t="str">
        <f t="shared" si="165"/>
        <v>4F西文書庫 4F Western Language Books</v>
      </c>
      <c r="P405" t="s">
        <v>64</v>
      </c>
      <c r="W405" t="str">
        <f t="shared" si="160"/>
        <v>美國國會圖書分類法</v>
      </c>
      <c r="Y405" t="str">
        <f>("RB38")</f>
        <v>RB38</v>
      </c>
      <c r="Z405" t="str">
        <f t="shared" si="175"/>
        <v>2018/08/11 13:34:21</v>
      </c>
      <c r="AA405" t="str">
        <f t="shared" si="171"/>
        <v>catc</v>
      </c>
      <c r="AC405" t="str">
        <f>("K18")</f>
        <v>K18</v>
      </c>
      <c r="AE405" t="str">
        <f t="shared" si="166"/>
        <v>c.1</v>
      </c>
      <c r="AF405" t="str">
        <f t="shared" si="162"/>
        <v>1.可借圖書</v>
      </c>
      <c r="AG405" t="str">
        <f t="shared" si="167"/>
        <v>在架</v>
      </c>
      <c r="AI405" t="s">
        <v>65</v>
      </c>
      <c r="AK405" t="str">
        <f t="shared" si="172"/>
        <v>一般(Normal)</v>
      </c>
      <c r="AO405" t="s">
        <v>65</v>
      </c>
      <c r="AS405" t="str">
        <f>("c1999.")</f>
        <v>c1999.</v>
      </c>
      <c r="AT405" t="str">
        <f t="shared" si="173"/>
        <v>catc</v>
      </c>
    </row>
    <row r="406" spans="1:48" x14ac:dyDescent="0.25">
      <c r="A406">
        <v>395</v>
      </c>
      <c r="B406" t="str">
        <f>("289302")</f>
        <v>289302</v>
      </c>
      <c r="C406" t="str">
        <f>("W00002431")</f>
        <v>W00002431</v>
      </c>
      <c r="D406" t="str">
        <f>("Medical-surgical nursing:  foundations for clinical practice/ ")</f>
        <v xml:space="preserve">Medical-surgical nursing:  foundations for clinical practice/ </v>
      </c>
      <c r="E406" t="str">
        <f>("Monahan,Frances Donovan ")</f>
        <v xml:space="preserve">Monahan,Frances Donovan </v>
      </c>
      <c r="F406" t="str">
        <f>("W.B.Saunders, ")</f>
        <v xml:space="preserve">W.B.Saunders, </v>
      </c>
      <c r="G406" t="str">
        <f>("2nd ed.")</f>
        <v>2nd ed.</v>
      </c>
      <c r="H406" t="str">
        <f t="shared" si="176"/>
        <v>圖書 book</v>
      </c>
      <c r="I406" t="str">
        <f>("RT41 M735 1998")</f>
        <v>RT41 M735 1998</v>
      </c>
      <c r="J406" t="str">
        <f>("0721673341")</f>
        <v>0721673341</v>
      </c>
      <c r="K406" t="str">
        <f>("492")</f>
        <v>492</v>
      </c>
      <c r="L406" t="str">
        <f t="shared" si="170"/>
        <v>2001/10/10 00:00:00</v>
      </c>
      <c r="M406" t="str">
        <f t="shared" si="174"/>
        <v>2018/08/11 13:34:21</v>
      </c>
      <c r="N406" t="str">
        <f>("1998")</f>
        <v>1998</v>
      </c>
      <c r="O406" t="str">
        <f t="shared" si="165"/>
        <v>4F西文書庫 4F Western Language Books</v>
      </c>
      <c r="P406" t="s">
        <v>64</v>
      </c>
      <c r="W406" t="str">
        <f t="shared" si="160"/>
        <v>美國國會圖書分類法</v>
      </c>
      <c r="Y406" t="str">
        <f>("RT41")</f>
        <v>RT41</v>
      </c>
      <c r="Z406" t="str">
        <f t="shared" si="175"/>
        <v>2018/08/11 13:34:21</v>
      </c>
      <c r="AA406" t="str">
        <f t="shared" si="171"/>
        <v>catc</v>
      </c>
      <c r="AC406" t="str">
        <f>("M735")</f>
        <v>M735</v>
      </c>
      <c r="AE406" t="str">
        <f t="shared" si="166"/>
        <v>c.1</v>
      </c>
      <c r="AF406" t="str">
        <f t="shared" si="162"/>
        <v>1.可借圖書</v>
      </c>
      <c r="AG406" t="str">
        <f t="shared" si="167"/>
        <v>在架</v>
      </c>
      <c r="AI406" t="s">
        <v>65</v>
      </c>
      <c r="AK406" t="str">
        <f t="shared" si="172"/>
        <v>一般(Normal)</v>
      </c>
      <c r="AO406" t="s">
        <v>65</v>
      </c>
      <c r="AS406" t="str">
        <f>("c1998.")</f>
        <v>c1998.</v>
      </c>
      <c r="AT406" t="str">
        <f t="shared" si="173"/>
        <v>catc</v>
      </c>
    </row>
    <row r="407" spans="1:48" x14ac:dyDescent="0.25">
      <c r="A407">
        <v>396</v>
      </c>
      <c r="B407" t="str">
        <f>("289303")</f>
        <v>289303</v>
      </c>
      <c r="C407" t="str">
        <f>("W00002432")</f>
        <v>W00002432</v>
      </c>
      <c r="D407" t="str">
        <f>("Lippincott's need-to-know psychotropic drug facts / ")</f>
        <v xml:space="preserve">Lippincott's need-to-know psychotropic drug facts / </v>
      </c>
      <c r="E407" t="str">
        <f>("Bailey, Katharine P. ")</f>
        <v xml:space="preserve">Bailey, Katharine P. </v>
      </c>
      <c r="F407" t="str">
        <f>(" Lippincott, ")</f>
        <v xml:space="preserve"> Lippincott, </v>
      </c>
      <c r="H407" t="str">
        <f t="shared" si="176"/>
        <v>圖書 book</v>
      </c>
      <c r="I407" t="str">
        <f>("RM315 B155 1998")</f>
        <v>RM315 B155 1998</v>
      </c>
      <c r="J407" t="str">
        <f>("0781710391")</f>
        <v>0781710391</v>
      </c>
      <c r="K407" t="str">
        <f>("448")</f>
        <v>448</v>
      </c>
      <c r="L407" t="str">
        <f t="shared" si="170"/>
        <v>2001/10/10 00:00:00</v>
      </c>
      <c r="M407" t="str">
        <f t="shared" si="174"/>
        <v>2018/08/11 13:34:21</v>
      </c>
      <c r="N407" t="str">
        <f>("1998")</f>
        <v>1998</v>
      </c>
      <c r="O407" t="str">
        <f t="shared" si="165"/>
        <v>4F西文書庫 4F Western Language Books</v>
      </c>
      <c r="P407" t="s">
        <v>64</v>
      </c>
      <c r="W407" t="str">
        <f t="shared" si="160"/>
        <v>美國國會圖書分類法</v>
      </c>
      <c r="Y407" t="str">
        <f>("RM315")</f>
        <v>RM315</v>
      </c>
      <c r="Z407" t="str">
        <f t="shared" si="175"/>
        <v>2018/08/11 13:34:21</v>
      </c>
      <c r="AA407" t="str">
        <f t="shared" si="171"/>
        <v>catc</v>
      </c>
      <c r="AC407" t="str">
        <f>("B155")</f>
        <v>B155</v>
      </c>
      <c r="AE407" t="str">
        <f t="shared" si="166"/>
        <v>c.1</v>
      </c>
      <c r="AF407" t="str">
        <f t="shared" si="162"/>
        <v>1.可借圖書</v>
      </c>
      <c r="AG407" t="str">
        <f t="shared" si="167"/>
        <v>在架</v>
      </c>
      <c r="AI407" t="s">
        <v>65</v>
      </c>
      <c r="AK407" t="str">
        <f t="shared" si="172"/>
        <v>一般(Normal)</v>
      </c>
      <c r="AO407" t="s">
        <v>65</v>
      </c>
      <c r="AS407" t="str">
        <f>(" c1998. ")</f>
        <v xml:space="preserve"> c1998. </v>
      </c>
      <c r="AT407" t="str">
        <f t="shared" si="173"/>
        <v>catc</v>
      </c>
    </row>
    <row r="408" spans="1:48" x14ac:dyDescent="0.25">
      <c r="A408">
        <v>397</v>
      </c>
      <c r="B408" t="str">
        <f>("289304")</f>
        <v>289304</v>
      </c>
      <c r="C408" t="str">
        <f>("W00002433")</f>
        <v>W00002433</v>
      </c>
      <c r="D408" t="str">
        <f>("Handbook of good business practice /")</f>
        <v>Handbook of good business practice /</v>
      </c>
      <c r="E408" t="str">
        <f>("Howitt, Mark ")</f>
        <v xml:space="preserve">Howitt, Mark </v>
      </c>
      <c r="F408" t="str">
        <f>("International Thomson Business,")</f>
        <v>International Thomson Business,</v>
      </c>
      <c r="H408" t="str">
        <f t="shared" si="176"/>
        <v>圖書 book</v>
      </c>
      <c r="I408" t="str">
        <f>("HF5387 H863 1999")</f>
        <v>HF5387 H863 1999</v>
      </c>
      <c r="J408" t="str">
        <f>("1861524978")</f>
        <v>1861524978</v>
      </c>
      <c r="K408" t="str">
        <f>("1016")</f>
        <v>1016</v>
      </c>
      <c r="L408" t="str">
        <f t="shared" si="170"/>
        <v>2001/10/10 00:00:00</v>
      </c>
      <c r="M408" t="str">
        <f t="shared" si="174"/>
        <v>2018/08/11 13:34:21</v>
      </c>
      <c r="N408" t="str">
        <f>("1999")</f>
        <v>1999</v>
      </c>
      <c r="O408" t="str">
        <f t="shared" si="165"/>
        <v>4F西文書庫 4F Western Language Books</v>
      </c>
      <c r="P408" t="s">
        <v>64</v>
      </c>
      <c r="W408" t="str">
        <f t="shared" si="160"/>
        <v>美國國會圖書分類法</v>
      </c>
      <c r="Y408" t="str">
        <f>("HF5387")</f>
        <v>HF5387</v>
      </c>
      <c r="Z408" t="str">
        <f t="shared" si="175"/>
        <v>2018/08/11 13:34:21</v>
      </c>
      <c r="AA408" t="str">
        <f t="shared" si="171"/>
        <v>catc</v>
      </c>
      <c r="AC408" t="str">
        <f>("H863")</f>
        <v>H863</v>
      </c>
      <c r="AE408" t="str">
        <f t="shared" si="166"/>
        <v>c.1</v>
      </c>
      <c r="AF408" t="str">
        <f t="shared" ref="AF408:AF423" si="177">("1.可借圖書")</f>
        <v>1.可借圖書</v>
      </c>
      <c r="AG408" t="str">
        <f t="shared" si="167"/>
        <v>在架</v>
      </c>
      <c r="AI408" t="s">
        <v>65</v>
      </c>
      <c r="AK408" t="str">
        <f t="shared" si="172"/>
        <v>一般(Normal)</v>
      </c>
      <c r="AO408" t="s">
        <v>65</v>
      </c>
      <c r="AS408" t="str">
        <f>("c1999 ")</f>
        <v xml:space="preserve">c1999 </v>
      </c>
      <c r="AT408" t="str">
        <f t="shared" si="173"/>
        <v>catc</v>
      </c>
    </row>
    <row r="409" spans="1:48" x14ac:dyDescent="0.25">
      <c r="A409">
        <v>398</v>
      </c>
      <c r="B409" t="str">
        <f>("289280")</f>
        <v>289280</v>
      </c>
      <c r="C409" t="str">
        <f>("W00002434")</f>
        <v>W00002434</v>
      </c>
      <c r="D409" t="str">
        <f>("Reforming markets in health care :an economic perspective /")</f>
        <v>Reforming markets in health care :an economic perspective /</v>
      </c>
      <c r="E409" t="str">
        <f>("Smith, Peter")</f>
        <v>Smith, Peter</v>
      </c>
      <c r="F409" t="str">
        <f>("Open University Press,")</f>
        <v>Open University Press,</v>
      </c>
      <c r="H409" t="str">
        <f t="shared" si="176"/>
        <v>圖書 book</v>
      </c>
      <c r="I409" t="str">
        <f>("RA410.55.G7 R281 2000")</f>
        <v>RA410.55.G7 R281 2000</v>
      </c>
      <c r="J409" t="str">
        <f>("0335204627;0335204619")</f>
        <v>0335204627;0335204619</v>
      </c>
      <c r="K409" t="str">
        <f>("800")</f>
        <v>800</v>
      </c>
      <c r="L409" t="str">
        <f t="shared" si="170"/>
        <v>2001/10/10 00:00:00</v>
      </c>
      <c r="M409" t="str">
        <f t="shared" si="174"/>
        <v>2018/08/11 13:34:21</v>
      </c>
      <c r="N409" t="str">
        <f>("2000")</f>
        <v>2000</v>
      </c>
      <c r="O409" t="str">
        <f t="shared" si="165"/>
        <v>4F西文書庫 4F Western Language Books</v>
      </c>
      <c r="P409" t="s">
        <v>64</v>
      </c>
      <c r="W409" t="str">
        <f t="shared" si="160"/>
        <v>美國國會圖書分類法</v>
      </c>
      <c r="Y409" t="str">
        <f>("RA410.55.G7")</f>
        <v>RA410.55.G7</v>
      </c>
      <c r="Z409" t="str">
        <f t="shared" si="175"/>
        <v>2018/08/11 13:34:21</v>
      </c>
      <c r="AA409" t="str">
        <f t="shared" si="171"/>
        <v>catc</v>
      </c>
      <c r="AC409" t="str">
        <f>("R281")</f>
        <v>R281</v>
      </c>
      <c r="AE409" t="str">
        <f t="shared" si="166"/>
        <v>c.1</v>
      </c>
      <c r="AF409" t="str">
        <f t="shared" si="177"/>
        <v>1.可借圖書</v>
      </c>
      <c r="AG409" t="str">
        <f t="shared" si="167"/>
        <v>在架</v>
      </c>
      <c r="AI409" t="s">
        <v>65</v>
      </c>
      <c r="AK409" t="str">
        <f t="shared" si="172"/>
        <v>一般(Normal)</v>
      </c>
      <c r="AO409" t="s">
        <v>65</v>
      </c>
      <c r="AS409" t="str">
        <f>("2000")</f>
        <v>2000</v>
      </c>
      <c r="AT409" t="str">
        <f t="shared" si="173"/>
        <v>catc</v>
      </c>
    </row>
    <row r="410" spans="1:48" x14ac:dyDescent="0.25">
      <c r="A410">
        <v>399</v>
      </c>
      <c r="B410" t="str">
        <f>("287586")</f>
        <v>287586</v>
      </c>
      <c r="C410" t="str">
        <f>("W00002435")</f>
        <v>W00002435</v>
      </c>
      <c r="D410" t="str">
        <f>("E-Business and ERP : transforming the enterprise / ")</f>
        <v xml:space="preserve">E-Business and ERP : transforming the enterprise / </v>
      </c>
      <c r="E410" t="str">
        <f>("Norris, Grant. ")</f>
        <v xml:space="preserve">Norris, Grant. </v>
      </c>
      <c r="F410" t="str">
        <f>("Wiley, ")</f>
        <v xml:space="preserve">Wiley, </v>
      </c>
      <c r="H410" t="str">
        <f t="shared" si="176"/>
        <v>圖書 book</v>
      </c>
      <c r="I410" t="str">
        <f>("TS155 N854 2000")</f>
        <v>TS155 N854 2000</v>
      </c>
      <c r="J410" t="str">
        <f>("0471392081")</f>
        <v>0471392081</v>
      </c>
      <c r="K410" t="str">
        <f>("1498")</f>
        <v>1498</v>
      </c>
      <c r="L410" t="str">
        <f t="shared" si="170"/>
        <v>2001/10/10 00:00:00</v>
      </c>
      <c r="M410" t="str">
        <f>("2018/08/11 13:31:33")</f>
        <v>2018/08/11 13:31:33</v>
      </c>
      <c r="N410" t="str">
        <f>("2000")</f>
        <v>2000</v>
      </c>
      <c r="O410" t="str">
        <f t="shared" si="165"/>
        <v>4F西文書庫 4F Western Language Books</v>
      </c>
      <c r="P410" t="s">
        <v>64</v>
      </c>
      <c r="W410" t="str">
        <f t="shared" si="160"/>
        <v>美國國會圖書分類法</v>
      </c>
      <c r="Y410" t="str">
        <f>("TS155")</f>
        <v>TS155</v>
      </c>
      <c r="Z410" t="str">
        <f>("2018/08/11 13:31:33")</f>
        <v>2018/08/11 13:31:33</v>
      </c>
      <c r="AA410" t="str">
        <f t="shared" si="171"/>
        <v>catc</v>
      </c>
      <c r="AC410" t="str">
        <f>("N854")</f>
        <v>N854</v>
      </c>
      <c r="AE410" t="str">
        <f t="shared" si="166"/>
        <v>c.1</v>
      </c>
      <c r="AF410" t="str">
        <f t="shared" si="177"/>
        <v>1.可借圖書</v>
      </c>
      <c r="AG410" t="str">
        <f t="shared" si="167"/>
        <v>在架</v>
      </c>
      <c r="AI410" t="s">
        <v>65</v>
      </c>
      <c r="AK410" t="str">
        <f t="shared" si="172"/>
        <v>一般(Normal)</v>
      </c>
      <c r="AO410" t="s">
        <v>65</v>
      </c>
      <c r="AS410" t="str">
        <f>("2000. ")</f>
        <v xml:space="preserve">2000. </v>
      </c>
      <c r="AT410" t="str">
        <f t="shared" si="173"/>
        <v>catc</v>
      </c>
    </row>
    <row r="411" spans="1:48" x14ac:dyDescent="0.25">
      <c r="A411">
        <v>400</v>
      </c>
      <c r="B411" t="str">
        <f>("289321")</f>
        <v>289321</v>
      </c>
      <c r="C411" t="str">
        <f>("W00002436")</f>
        <v>W00002436</v>
      </c>
      <c r="D411" t="str">
        <f>("Success is a journey :7 steps to achieving success in the business of life /")</f>
        <v>Success is a journey :7 steps to achieving success in the business of life /</v>
      </c>
      <c r="E411" t="str">
        <f>("Mayer, Jeffrey J ")</f>
        <v xml:space="preserve">Mayer, Jeffrey J </v>
      </c>
      <c r="F411" t="str">
        <f>("McGraw-Hill,")</f>
        <v>McGraw-Hill,</v>
      </c>
      <c r="H411" t="str">
        <f t="shared" si="176"/>
        <v>圖書 book</v>
      </c>
      <c r="I411" t="str">
        <f>("HF5386 M468 1998")</f>
        <v>HF5386 M468 1998</v>
      </c>
      <c r="J411" t="str">
        <f>("0071365141")</f>
        <v>0071365141</v>
      </c>
      <c r="K411" t="str">
        <f>("648")</f>
        <v>648</v>
      </c>
      <c r="L411" t="str">
        <f t="shared" si="170"/>
        <v>2001/10/10 00:00:00</v>
      </c>
      <c r="M411" t="str">
        <f>("2018/08/11 13:34:22")</f>
        <v>2018/08/11 13:34:22</v>
      </c>
      <c r="N411" t="str">
        <f>("1998")</f>
        <v>1998</v>
      </c>
      <c r="O411" t="str">
        <f t="shared" si="165"/>
        <v>4F西文書庫 4F Western Language Books</v>
      </c>
      <c r="P411" t="s">
        <v>64</v>
      </c>
      <c r="W411" t="str">
        <f t="shared" si="160"/>
        <v>美國國會圖書分類法</v>
      </c>
      <c r="Y411" t="str">
        <f>("HF5386")</f>
        <v>HF5386</v>
      </c>
      <c r="Z411" t="str">
        <f>("2018/08/11 13:34:21")</f>
        <v>2018/08/11 13:34:21</v>
      </c>
      <c r="AA411" t="str">
        <f t="shared" si="171"/>
        <v>catc</v>
      </c>
      <c r="AC411" t="str">
        <f>("M468")</f>
        <v>M468</v>
      </c>
      <c r="AE411" t="str">
        <f t="shared" si="166"/>
        <v>c.1</v>
      </c>
      <c r="AF411" t="str">
        <f t="shared" si="177"/>
        <v>1.可借圖書</v>
      </c>
      <c r="AG411" t="str">
        <f t="shared" si="167"/>
        <v>在架</v>
      </c>
      <c r="AI411" t="s">
        <v>65</v>
      </c>
      <c r="AK411" t="str">
        <f t="shared" si="172"/>
        <v>一般(Normal)</v>
      </c>
      <c r="AO411" t="s">
        <v>65</v>
      </c>
      <c r="AS411" t="str">
        <f>("c1999 ")</f>
        <v xml:space="preserve">c1999 </v>
      </c>
      <c r="AT411" t="str">
        <f t="shared" si="173"/>
        <v>catc</v>
      </c>
    </row>
    <row r="412" spans="1:48" x14ac:dyDescent="0.25">
      <c r="A412">
        <v>401</v>
      </c>
      <c r="B412" t="str">
        <f>("289322")</f>
        <v>289322</v>
      </c>
      <c r="C412" t="str">
        <f>("W00002437")</f>
        <v>W00002437</v>
      </c>
      <c r="D412" t="str">
        <f>("The whole world's watching :decarbonizing the economy and saving the world /")</f>
        <v>The whole world's watching :decarbonizing the economy and saving the world /</v>
      </c>
      <c r="E412" t="str">
        <f>("Turner, Martyn, 1959- ")</f>
        <v xml:space="preserve">Turner, Martyn, 1959- </v>
      </c>
      <c r="F412" t="str">
        <f>("John Wiley,")</f>
        <v>John Wiley,</v>
      </c>
      <c r="H412" t="str">
        <f t="shared" si="176"/>
        <v>圖書 book</v>
      </c>
      <c r="I412" t="str">
        <f>("HC79.A4 T945 2001")</f>
        <v>HC79.A4 T945 2001</v>
      </c>
      <c r="J412" t="str">
        <f>("0471499811")</f>
        <v>0471499811</v>
      </c>
      <c r="K412" t="str">
        <f>("880")</f>
        <v>880</v>
      </c>
      <c r="L412" t="str">
        <f t="shared" si="170"/>
        <v>2001/10/10 00:00:00</v>
      </c>
      <c r="M412" t="str">
        <f>("2018/08/11 13:34:22")</f>
        <v>2018/08/11 13:34:22</v>
      </c>
      <c r="N412" t="str">
        <f>("2001")</f>
        <v>2001</v>
      </c>
      <c r="O412" t="str">
        <f t="shared" si="165"/>
        <v>4F西文書庫 4F Western Language Books</v>
      </c>
      <c r="P412" t="s">
        <v>64</v>
      </c>
      <c r="W412" t="str">
        <f t="shared" si="160"/>
        <v>美國國會圖書分類法</v>
      </c>
      <c r="Y412" t="str">
        <f>("HC79.A4")</f>
        <v>HC79.A4</v>
      </c>
      <c r="Z412" t="str">
        <f>("2018/08/11 13:34:22")</f>
        <v>2018/08/11 13:34:22</v>
      </c>
      <c r="AA412" t="str">
        <f t="shared" si="171"/>
        <v>catc</v>
      </c>
      <c r="AC412" t="str">
        <f>("T945")</f>
        <v>T945</v>
      </c>
      <c r="AE412" t="str">
        <f t="shared" si="166"/>
        <v>c.1</v>
      </c>
      <c r="AF412" t="str">
        <f t="shared" si="177"/>
        <v>1.可借圖書</v>
      </c>
      <c r="AG412" t="str">
        <f t="shared" si="167"/>
        <v>在架</v>
      </c>
      <c r="AI412" t="s">
        <v>65</v>
      </c>
      <c r="AK412" t="str">
        <f t="shared" si="172"/>
        <v>一般(Normal)</v>
      </c>
      <c r="AO412" t="s">
        <v>65</v>
      </c>
      <c r="AS412" t="str">
        <f>("c2001. ")</f>
        <v xml:space="preserve">c2001. </v>
      </c>
      <c r="AT412" t="str">
        <f t="shared" si="173"/>
        <v>catc</v>
      </c>
    </row>
    <row r="413" spans="1:48" x14ac:dyDescent="0.25">
      <c r="A413">
        <v>402</v>
      </c>
      <c r="B413" t="str">
        <f>("289323")</f>
        <v>289323</v>
      </c>
      <c r="C413" t="str">
        <f>("W00002438")</f>
        <v>W00002438</v>
      </c>
      <c r="D413" t="str">
        <f>("Keeping the people who keep you in business :24 ways to hang on to your most valuable talent /")</f>
        <v>Keeping the people who keep you in business :24 ways to hang on to your most valuable talent /</v>
      </c>
      <c r="E413" t="str">
        <f>("Branham, Leigh ")</f>
        <v xml:space="preserve">Branham, Leigh </v>
      </c>
      <c r="F413" t="str">
        <f>("AMACOM,")</f>
        <v>AMACOM,</v>
      </c>
      <c r="H413" t="str">
        <f t="shared" si="176"/>
        <v>圖書 book</v>
      </c>
      <c r="I413" t="str">
        <f>("HF5549.5.R58 B816 2001")</f>
        <v>HF5549.5.R58 B816 2001</v>
      </c>
      <c r="J413" t="str">
        <f>("0814405975")</f>
        <v>0814405975</v>
      </c>
      <c r="K413" t="str">
        <f>("808")</f>
        <v>808</v>
      </c>
      <c r="L413" t="str">
        <f t="shared" si="170"/>
        <v>2001/10/10 00:00:00</v>
      </c>
      <c r="M413" t="str">
        <f>("2018/08/11 13:34:22")</f>
        <v>2018/08/11 13:34:22</v>
      </c>
      <c r="N413" t="str">
        <f>("2001")</f>
        <v>2001</v>
      </c>
      <c r="O413" t="str">
        <f t="shared" si="165"/>
        <v>4F西文書庫 4F Western Language Books</v>
      </c>
      <c r="P413" t="s">
        <v>64</v>
      </c>
      <c r="W413" t="str">
        <f t="shared" si="160"/>
        <v>美國國會圖書分類法</v>
      </c>
      <c r="Y413" t="str">
        <f>("HF5549.5.R58")</f>
        <v>HF5549.5.R58</v>
      </c>
      <c r="Z413" t="str">
        <f>("2018/08/11 13:34:22")</f>
        <v>2018/08/11 13:34:22</v>
      </c>
      <c r="AA413" t="str">
        <f t="shared" si="171"/>
        <v>catc</v>
      </c>
      <c r="AC413" t="str">
        <f>("B816")</f>
        <v>B816</v>
      </c>
      <c r="AE413" t="str">
        <f t="shared" si="166"/>
        <v>c.1</v>
      </c>
      <c r="AF413" t="str">
        <f t="shared" si="177"/>
        <v>1.可借圖書</v>
      </c>
      <c r="AG413" t="str">
        <f t="shared" si="167"/>
        <v>在架</v>
      </c>
      <c r="AI413" t="s">
        <v>65</v>
      </c>
      <c r="AK413" t="str">
        <f t="shared" si="172"/>
        <v>一般(Normal)</v>
      </c>
      <c r="AO413" t="s">
        <v>65</v>
      </c>
      <c r="AS413" t="str">
        <f>("c2001. ")</f>
        <v xml:space="preserve">c2001. </v>
      </c>
      <c r="AT413" t="str">
        <f t="shared" si="173"/>
        <v>catc</v>
      </c>
    </row>
    <row r="414" spans="1:48" x14ac:dyDescent="0.25">
      <c r="A414">
        <v>403</v>
      </c>
      <c r="B414" t="str">
        <f>("289305")</f>
        <v>289305</v>
      </c>
      <c r="C414" t="str">
        <f>("W00002439")</f>
        <v>W00002439</v>
      </c>
      <c r="D414" t="str">
        <f>("Change on the run :  competing through e-leadership / ")</f>
        <v xml:space="preserve">Change on the run :  competing through e-leadership / </v>
      </c>
      <c r="E414" t="str">
        <f>("Kay, Michael. ")</f>
        <v xml:space="preserve">Kay, Michael. </v>
      </c>
      <c r="F414" t="str">
        <f>(" Wiley, ")</f>
        <v xml:space="preserve"> Wiley, </v>
      </c>
      <c r="H414" t="str">
        <f t="shared" si="176"/>
        <v>圖書 book</v>
      </c>
      <c r="I414" t="str">
        <f>("HD58.8 K23 2000")</f>
        <v>HD58.8 K23 2000</v>
      </c>
      <c r="J414" t="str">
        <f>("0471645192")</f>
        <v>0471645192</v>
      </c>
      <c r="K414" t="str">
        <f>("840")</f>
        <v>840</v>
      </c>
      <c r="L414" t="str">
        <f t="shared" si="170"/>
        <v>2001/10/10 00:00:00</v>
      </c>
      <c r="M414" t="str">
        <f>("2018/08/11 13:34:22")</f>
        <v>2018/08/11 13:34:22</v>
      </c>
      <c r="N414" t="str">
        <f>("2000")</f>
        <v>2000</v>
      </c>
      <c r="O414" t="str">
        <f t="shared" si="165"/>
        <v>4F西文書庫 4F Western Language Books</v>
      </c>
      <c r="P414" t="s">
        <v>64</v>
      </c>
      <c r="W414" t="str">
        <f t="shared" si="160"/>
        <v>美國國會圖書分類法</v>
      </c>
      <c r="Y414" t="str">
        <f>("HD58.8")</f>
        <v>HD58.8</v>
      </c>
      <c r="Z414" t="str">
        <f>("2018/08/11 13:34:22")</f>
        <v>2018/08/11 13:34:22</v>
      </c>
      <c r="AA414" t="str">
        <f t="shared" si="171"/>
        <v>catc</v>
      </c>
      <c r="AC414" t="str">
        <f>("K23")</f>
        <v>K23</v>
      </c>
      <c r="AE414" t="str">
        <f t="shared" si="166"/>
        <v>c.1</v>
      </c>
      <c r="AF414" t="str">
        <f t="shared" si="177"/>
        <v>1.可借圖書</v>
      </c>
      <c r="AG414" t="str">
        <f t="shared" si="167"/>
        <v>在架</v>
      </c>
      <c r="AI414" t="s">
        <v>65</v>
      </c>
      <c r="AK414" t="str">
        <f t="shared" si="172"/>
        <v>一般(Normal)</v>
      </c>
      <c r="AO414" t="s">
        <v>65</v>
      </c>
      <c r="AS414" t="str">
        <f>("c2000. ")</f>
        <v xml:space="preserve">c2000. </v>
      </c>
      <c r="AT414" t="str">
        <f t="shared" si="173"/>
        <v>catc</v>
      </c>
    </row>
    <row r="415" spans="1:48" x14ac:dyDescent="0.25">
      <c r="A415">
        <v>404</v>
      </c>
      <c r="B415" t="str">
        <f>("287529")</f>
        <v>287529</v>
      </c>
      <c r="C415" t="str">
        <f>("W00002440")</f>
        <v>W00002440</v>
      </c>
      <c r="D415" t="str">
        <f>("The art of investment /")</f>
        <v>The art of investment /</v>
      </c>
      <c r="E415" t="str">
        <f>("Ellinger, A. G. ")</f>
        <v xml:space="preserve">Ellinger, A. G. </v>
      </c>
      <c r="F415" t="str">
        <f>("John Wiley,")</f>
        <v>John Wiley,</v>
      </c>
      <c r="H415" t="str">
        <f t="shared" si="176"/>
        <v>圖書 book</v>
      </c>
      <c r="I415" t="str">
        <f>("HG5435 E46 2000")</f>
        <v>HG5435 E46 2000</v>
      </c>
      <c r="J415" t="str">
        <f>("0471495514")</f>
        <v>0471495514</v>
      </c>
      <c r="K415" t="str">
        <f>("788")</f>
        <v>788</v>
      </c>
      <c r="L415" t="str">
        <f t="shared" si="170"/>
        <v>2001/10/10 00:00:00</v>
      </c>
      <c r="M415" t="str">
        <f>("2018/08/11 13:31:26")</f>
        <v>2018/08/11 13:31:26</v>
      </c>
      <c r="N415" t="str">
        <f>("2000")</f>
        <v>2000</v>
      </c>
      <c r="O415" t="str">
        <f t="shared" si="165"/>
        <v>4F西文書庫 4F Western Language Books</v>
      </c>
      <c r="P415" t="s">
        <v>64</v>
      </c>
      <c r="S415" t="str">
        <f>("293 p. :")</f>
        <v>293 p. :</v>
      </c>
      <c r="T415" t="str">
        <f>("ill. ;")</f>
        <v>ill. ;</v>
      </c>
      <c r="U415" t="str">
        <f>("22 cm. ")</f>
        <v xml:space="preserve">22 cm. </v>
      </c>
      <c r="W415" t="str">
        <f t="shared" si="160"/>
        <v>美國國會圖書分類法</v>
      </c>
      <c r="Y415" t="str">
        <f>("HG5435")</f>
        <v>HG5435</v>
      </c>
      <c r="Z415" t="str">
        <f>("2018/08/11 13:31:25")</f>
        <v>2018/08/11 13:31:25</v>
      </c>
      <c r="AA415" t="str">
        <f t="shared" si="171"/>
        <v>catc</v>
      </c>
      <c r="AC415" t="str">
        <f>("E46")</f>
        <v>E46</v>
      </c>
      <c r="AE415" t="str">
        <f t="shared" si="166"/>
        <v>c.1</v>
      </c>
      <c r="AF415" t="str">
        <f t="shared" si="177"/>
        <v>1.可借圖書</v>
      </c>
      <c r="AG415" t="str">
        <f t="shared" si="167"/>
        <v>在架</v>
      </c>
      <c r="AI415" t="s">
        <v>65</v>
      </c>
      <c r="AK415" t="str">
        <f t="shared" si="172"/>
        <v>一般(Normal)</v>
      </c>
      <c r="AO415" t="s">
        <v>65</v>
      </c>
      <c r="AS415" t="str">
        <f>("2000. ")</f>
        <v xml:space="preserve">2000. </v>
      </c>
      <c r="AT415" t="str">
        <f t="shared" si="173"/>
        <v>catc</v>
      </c>
    </row>
    <row r="416" spans="1:48" x14ac:dyDescent="0.25">
      <c r="A416">
        <v>405</v>
      </c>
      <c r="B416" t="str">
        <f>("290394")</f>
        <v>290394</v>
      </c>
      <c r="C416" t="str">
        <f>("W00002441")</f>
        <v>W00002441</v>
      </c>
      <c r="D416" t="str">
        <f>("Business-to-business bible /")</f>
        <v>Business-to-business bible /</v>
      </c>
      <c r="E416" t="str">
        <f>("Collin, S. M. H.,1966-")</f>
        <v>Collin, S. M. H.,1966-</v>
      </c>
      <c r="F416" t="str">
        <f>("John Wiley,")</f>
        <v>John Wiley,</v>
      </c>
      <c r="H416" t="str">
        <f t="shared" si="176"/>
        <v>圖書 book</v>
      </c>
      <c r="I416" t="str">
        <f>("HF5548.32 C699-2 2000")</f>
        <v>HF5548.32 C699-2 2000</v>
      </c>
      <c r="J416" t="str">
        <f>("0471498963")</f>
        <v>0471498963</v>
      </c>
      <c r="K416" t="str">
        <f>("484")</f>
        <v>484</v>
      </c>
      <c r="L416" t="str">
        <f t="shared" si="170"/>
        <v>2001/10/10 00:00:00</v>
      </c>
      <c r="M416" t="str">
        <f>("2018/08/11 13:36:19")</f>
        <v>2018/08/11 13:36:19</v>
      </c>
      <c r="N416" t="str">
        <f>("2000")</f>
        <v>2000</v>
      </c>
      <c r="O416" t="str">
        <f t="shared" si="165"/>
        <v>4F西文書庫 4F Western Language Books</v>
      </c>
      <c r="P416" t="s">
        <v>64</v>
      </c>
      <c r="W416" t="str">
        <f t="shared" si="160"/>
        <v>美國國會圖書分類法</v>
      </c>
      <c r="Y416" t="str">
        <f>("HF5548.32")</f>
        <v>HF5548.32</v>
      </c>
      <c r="Z416" t="str">
        <f>("2018/08/11 13:36:19")</f>
        <v>2018/08/11 13:36:19</v>
      </c>
      <c r="AA416" t="str">
        <f t="shared" si="171"/>
        <v>catc</v>
      </c>
      <c r="AC416" t="str">
        <f>("C699-2")</f>
        <v>C699-2</v>
      </c>
      <c r="AE416" t="str">
        <f t="shared" si="166"/>
        <v>c.1</v>
      </c>
      <c r="AF416" t="str">
        <f t="shared" si="177"/>
        <v>1.可借圖書</v>
      </c>
      <c r="AG416" t="str">
        <f t="shared" si="167"/>
        <v>在架</v>
      </c>
      <c r="AI416" t="s">
        <v>65</v>
      </c>
      <c r="AJ416" t="str">
        <f>("http://www.loc.gov/catdir/bios/wiley043/2001271087.html;http://www.loc.gov/catdir/description/wiley035/2001271087.html;http://www.loc.gov/catdir/toc/onix07/2001271087.html")</f>
        <v>http://www.loc.gov/catdir/bios/wiley043/2001271087.html;http://www.loc.gov/catdir/description/wiley035/2001271087.html;http://www.loc.gov/catdir/toc/onix07/2001271087.html</v>
      </c>
      <c r="AK416" t="str">
        <f t="shared" si="172"/>
        <v>一般(Normal)</v>
      </c>
      <c r="AO416" t="s">
        <v>65</v>
      </c>
      <c r="AS416" t="str">
        <f>("c2000.")</f>
        <v>c2000.</v>
      </c>
      <c r="AT416" t="str">
        <f t="shared" si="173"/>
        <v>catc</v>
      </c>
      <c r="AV416" t="str">
        <f>("http://www.loc.gov/catdir/bios/wiley043/2001271087.html;http://www.loc.gov/catdir/description/wiley035/2001271087.html;http://www.loc.gov/catdir/toc/onix07/2001271087.html")</f>
        <v>http://www.loc.gov/catdir/bios/wiley043/2001271087.html;http://www.loc.gov/catdir/description/wiley035/2001271087.html;http://www.loc.gov/catdir/toc/onix07/2001271087.html</v>
      </c>
    </row>
    <row r="417" spans="1:46" x14ac:dyDescent="0.25">
      <c r="A417">
        <v>406</v>
      </c>
      <c r="B417" t="str">
        <f>("289306")</f>
        <v>289306</v>
      </c>
      <c r="C417" t="str">
        <f>("W00002442")</f>
        <v>W00002442</v>
      </c>
      <c r="D417" t="str">
        <f>("Managing knowledge :building blocks for success /")</f>
        <v>Managing knowledge :building blocks for success /</v>
      </c>
      <c r="E417" t="str">
        <f>("Probst, Gilbert. ")</f>
        <v xml:space="preserve">Probst, Gilbert. </v>
      </c>
      <c r="F417" t="str">
        <f>("John Wiley &amp; Sons,")</f>
        <v>John Wiley &amp; Sons,</v>
      </c>
      <c r="H417" t="str">
        <f t="shared" si="176"/>
        <v>圖書 book</v>
      </c>
      <c r="I417" t="str">
        <f>("HD30.2 P962 2000")</f>
        <v>HD30.2 P962 2000</v>
      </c>
      <c r="J417" t="str">
        <f>("0471997684")</f>
        <v>0471997684</v>
      </c>
      <c r="K417" t="str">
        <f>("1240")</f>
        <v>1240</v>
      </c>
      <c r="L417" t="str">
        <f t="shared" si="170"/>
        <v>2001/10/10 00:00:00</v>
      </c>
      <c r="M417" t="str">
        <f>("2018/08/11 13:34:22")</f>
        <v>2018/08/11 13:34:22</v>
      </c>
      <c r="N417" t="str">
        <f>("2000")</f>
        <v>2000</v>
      </c>
      <c r="O417" t="str">
        <f t="shared" si="165"/>
        <v>4F西文書庫 4F Western Language Books</v>
      </c>
      <c r="P417" t="s">
        <v>64</v>
      </c>
      <c r="W417" t="str">
        <f t="shared" si="160"/>
        <v>美國國會圖書分類法</v>
      </c>
      <c r="Y417" t="str">
        <f>("HD30.2")</f>
        <v>HD30.2</v>
      </c>
      <c r="Z417" t="str">
        <f>("2018/08/11 13:34:22")</f>
        <v>2018/08/11 13:34:22</v>
      </c>
      <c r="AA417" t="str">
        <f t="shared" si="171"/>
        <v>catc</v>
      </c>
      <c r="AC417" t="str">
        <f>("P962")</f>
        <v>P962</v>
      </c>
      <c r="AE417" t="str">
        <f t="shared" si="166"/>
        <v>c.1</v>
      </c>
      <c r="AF417" t="str">
        <f t="shared" si="177"/>
        <v>1.可借圖書</v>
      </c>
      <c r="AG417" t="str">
        <f t="shared" si="167"/>
        <v>在架</v>
      </c>
      <c r="AI417" t="s">
        <v>65</v>
      </c>
      <c r="AK417" t="str">
        <f t="shared" si="172"/>
        <v>一般(Normal)</v>
      </c>
      <c r="AO417" t="s">
        <v>65</v>
      </c>
      <c r="AS417" t="str">
        <f>("c2000. ")</f>
        <v xml:space="preserve">c2000. </v>
      </c>
      <c r="AT417" t="str">
        <f t="shared" si="173"/>
        <v>catc</v>
      </c>
    </row>
    <row r="418" spans="1:46" x14ac:dyDescent="0.25">
      <c r="A418">
        <v>407</v>
      </c>
      <c r="B418" t="str">
        <f>("287440")</f>
        <v>287440</v>
      </c>
      <c r="C418" t="str">
        <f>("W00002443")</f>
        <v>W00002443</v>
      </c>
      <c r="D418" t="str">
        <f>("Getting started in computer consulting / ")</f>
        <v xml:space="preserve">Getting started in computer consulting / </v>
      </c>
      <c r="E418" t="str">
        <f>("Meyer, Peter, 1954- ")</f>
        <v xml:space="preserve">Meyer, Peter, 1954- </v>
      </c>
      <c r="F418" t="str">
        <f>("John Wiley, ")</f>
        <v xml:space="preserve">John Wiley, </v>
      </c>
      <c r="H418" t="str">
        <f t="shared" si="176"/>
        <v>圖書 book</v>
      </c>
      <c r="I418" t="str">
        <f>("HD69.C6 M613 2000")</f>
        <v>HD69.C6 M613 2000</v>
      </c>
      <c r="J418" t="str">
        <f>("0471348139")</f>
        <v>0471348139</v>
      </c>
      <c r="K418" t="str">
        <f>("528")</f>
        <v>528</v>
      </c>
      <c r="L418" t="str">
        <f t="shared" si="170"/>
        <v>2001/10/10 00:00:00</v>
      </c>
      <c r="M418" t="str">
        <f>("2018/08/11 13:31:15")</f>
        <v>2018/08/11 13:31:15</v>
      </c>
      <c r="N418" t="str">
        <f>("2000")</f>
        <v>2000</v>
      </c>
      <c r="O418" t="str">
        <f t="shared" ref="O418:O423" si="178">("4F西文書庫 4F Western Language Books")</f>
        <v>4F西文書庫 4F Western Language Books</v>
      </c>
      <c r="P418" t="s">
        <v>64</v>
      </c>
      <c r="S418" t="str">
        <f>("xiii, 258 p. ; ")</f>
        <v xml:space="preserve">xiii, 258 p. ; </v>
      </c>
      <c r="U418" t="str">
        <f>("24 cm. ")</f>
        <v xml:space="preserve">24 cm. </v>
      </c>
      <c r="W418" t="str">
        <f t="shared" si="160"/>
        <v>美國國會圖書分類法</v>
      </c>
      <c r="Y418" t="str">
        <f>("HD69.C6")</f>
        <v>HD69.C6</v>
      </c>
      <c r="Z418" t="str">
        <f>("2018/08/11 13:31:15")</f>
        <v>2018/08/11 13:31:15</v>
      </c>
      <c r="AA418" t="str">
        <f t="shared" si="171"/>
        <v>catc</v>
      </c>
      <c r="AC418" t="str">
        <f>("M613")</f>
        <v>M613</v>
      </c>
      <c r="AE418" t="str">
        <f t="shared" ref="AE418:AE423" si="179">("c.1")</f>
        <v>c.1</v>
      </c>
      <c r="AF418" t="str">
        <f t="shared" si="177"/>
        <v>1.可借圖書</v>
      </c>
      <c r="AG418" t="str">
        <f t="shared" ref="AG418:AG423" si="180">("在架")</f>
        <v>在架</v>
      </c>
      <c r="AI418" t="s">
        <v>65</v>
      </c>
      <c r="AK418" t="str">
        <f t="shared" si="172"/>
        <v>一般(Normal)</v>
      </c>
      <c r="AO418" t="s">
        <v>65</v>
      </c>
      <c r="AS418" t="str">
        <f>("c2000. ")</f>
        <v xml:space="preserve">c2000. </v>
      </c>
      <c r="AT418" t="str">
        <f t="shared" si="173"/>
        <v>catc</v>
      </c>
    </row>
    <row r="419" spans="1:46" x14ac:dyDescent="0.25">
      <c r="A419">
        <v>408</v>
      </c>
      <c r="B419" t="str">
        <f>("289307")</f>
        <v>289307</v>
      </c>
      <c r="C419" t="str">
        <f>("W00002444")</f>
        <v>W00002444</v>
      </c>
      <c r="D419" t="str">
        <f>("Managing crisis before they happen :what every executive and manager needs to know about crisis management /")</f>
        <v>Managing crisis before they happen :what every executive and manager needs to know about crisis management /</v>
      </c>
      <c r="E419" t="str">
        <f>("Mitroff, Ian I. ")</f>
        <v xml:space="preserve">Mitroff, Ian I. </v>
      </c>
      <c r="F419" t="str">
        <f>("AMACOM,")</f>
        <v>AMACOM,</v>
      </c>
      <c r="H419" t="str">
        <f t="shared" si="176"/>
        <v>圖書 book</v>
      </c>
      <c r="I419" t="str">
        <f>("HD49 M679 2001")</f>
        <v>HD49 M679 2001</v>
      </c>
      <c r="J419" t="str">
        <f>("0814405630")</f>
        <v>0814405630</v>
      </c>
      <c r="K419" t="str">
        <f>("720")</f>
        <v>720</v>
      </c>
      <c r="L419" t="str">
        <f t="shared" si="170"/>
        <v>2001/10/10 00:00:00</v>
      </c>
      <c r="M419" t="str">
        <f>("2018/08/11 13:34:22")</f>
        <v>2018/08/11 13:34:22</v>
      </c>
      <c r="N419" t="str">
        <f>("2001")</f>
        <v>2001</v>
      </c>
      <c r="O419" t="str">
        <f t="shared" si="178"/>
        <v>4F西文書庫 4F Western Language Books</v>
      </c>
      <c r="P419" t="s">
        <v>64</v>
      </c>
      <c r="W419" t="str">
        <f t="shared" si="160"/>
        <v>美國國會圖書分類法</v>
      </c>
      <c r="Y419" t="str">
        <f>("HD49")</f>
        <v>HD49</v>
      </c>
      <c r="Z419" t="str">
        <f t="shared" ref="Z419:Z424" si="181">("2018/08/11 13:34:22")</f>
        <v>2018/08/11 13:34:22</v>
      </c>
      <c r="AA419" t="str">
        <f t="shared" si="171"/>
        <v>catc</v>
      </c>
      <c r="AC419" t="str">
        <f>("M679")</f>
        <v>M679</v>
      </c>
      <c r="AE419" t="str">
        <f t="shared" si="179"/>
        <v>c.1</v>
      </c>
      <c r="AF419" t="str">
        <f t="shared" si="177"/>
        <v>1.可借圖書</v>
      </c>
      <c r="AG419" t="str">
        <f t="shared" si="180"/>
        <v>在架</v>
      </c>
      <c r="AI419" t="s">
        <v>65</v>
      </c>
      <c r="AK419" t="str">
        <f t="shared" si="172"/>
        <v>一般(Normal)</v>
      </c>
      <c r="AO419" t="s">
        <v>65</v>
      </c>
      <c r="AS419" t="str">
        <f>("c2001. ")</f>
        <v xml:space="preserve">c2001. </v>
      </c>
      <c r="AT419" t="str">
        <f t="shared" si="173"/>
        <v>catc</v>
      </c>
    </row>
    <row r="420" spans="1:46" x14ac:dyDescent="0.25">
      <c r="A420">
        <v>409</v>
      </c>
      <c r="B420" t="str">
        <f>("289308")</f>
        <v>289308</v>
      </c>
      <c r="C420" t="str">
        <f>("W00002445")</f>
        <v>W00002445</v>
      </c>
      <c r="D420" t="str">
        <f>("Entrepreneurship in the global firm /")</f>
        <v>Entrepreneurship in the global firm /</v>
      </c>
      <c r="E420" t="str">
        <f>("Birkinshaw, Julian M. ")</f>
        <v xml:space="preserve">Birkinshaw, Julian M. </v>
      </c>
      <c r="F420" t="str">
        <f>("SAGE,")</f>
        <v>SAGE,</v>
      </c>
      <c r="H420" t="str">
        <f t="shared" si="176"/>
        <v>圖書 book</v>
      </c>
      <c r="I420" t="str">
        <f>("HB615 B619 2000")</f>
        <v>HB615 B619 2000</v>
      </c>
      <c r="J420" t="str">
        <f>("0761958096")</f>
        <v>0761958096</v>
      </c>
      <c r="K420" t="str">
        <f>("792")</f>
        <v>792</v>
      </c>
      <c r="L420" t="str">
        <f t="shared" si="170"/>
        <v>2001/10/10 00:00:00</v>
      </c>
      <c r="M420" t="str">
        <f>("2018/08/11 13:34:22")</f>
        <v>2018/08/11 13:34:22</v>
      </c>
      <c r="N420" t="str">
        <f>("2000")</f>
        <v>2000</v>
      </c>
      <c r="O420" t="str">
        <f t="shared" si="178"/>
        <v>4F西文書庫 4F Western Language Books</v>
      </c>
      <c r="P420" t="s">
        <v>64</v>
      </c>
      <c r="W420" t="str">
        <f t="shared" si="160"/>
        <v>美國國會圖書分類法</v>
      </c>
      <c r="Y420" t="str">
        <f>("HB615")</f>
        <v>HB615</v>
      </c>
      <c r="Z420" t="str">
        <f t="shared" si="181"/>
        <v>2018/08/11 13:34:22</v>
      </c>
      <c r="AA420" t="str">
        <f t="shared" si="171"/>
        <v>catc</v>
      </c>
      <c r="AC420" t="str">
        <f>("B619")</f>
        <v>B619</v>
      </c>
      <c r="AE420" t="str">
        <f t="shared" si="179"/>
        <v>c.1</v>
      </c>
      <c r="AF420" t="str">
        <f t="shared" si="177"/>
        <v>1.可借圖書</v>
      </c>
      <c r="AG420" t="str">
        <f t="shared" si="180"/>
        <v>在架</v>
      </c>
      <c r="AI420" t="s">
        <v>65</v>
      </c>
      <c r="AK420" t="str">
        <f t="shared" si="172"/>
        <v>一般(Normal)</v>
      </c>
      <c r="AO420" t="s">
        <v>65</v>
      </c>
      <c r="AS420" t="str">
        <f>("2000. ")</f>
        <v xml:space="preserve">2000. </v>
      </c>
      <c r="AT420" t="str">
        <f t="shared" si="173"/>
        <v>catc</v>
      </c>
    </row>
    <row r="421" spans="1:46" x14ac:dyDescent="0.25">
      <c r="A421">
        <v>410</v>
      </c>
      <c r="B421" t="str">
        <f>("289309")</f>
        <v>289309</v>
      </c>
      <c r="C421" t="str">
        <f>("W00002446")</f>
        <v>W00002446</v>
      </c>
      <c r="D421" t="str">
        <f>("Keeping the team going :a tool kit to renew &amp; refuel your workplace teams /")</f>
        <v>Keeping the team going :a tool kit to renew &amp; refuel your workplace teams /</v>
      </c>
      <c r="E421" t="str">
        <f>("Harrington-Mackin, Deborah. ")</f>
        <v xml:space="preserve">Harrington-Mackin, Deborah. </v>
      </c>
      <c r="F421" t="str">
        <f>("AMACOM,")</f>
        <v>AMACOM,</v>
      </c>
      <c r="H421" t="str">
        <f t="shared" si="176"/>
        <v>圖書 book</v>
      </c>
      <c r="I421" t="str">
        <f>("HD66 H158 1996")</f>
        <v>HD66 H158 1996</v>
      </c>
      <c r="J421" t="str">
        <f>("0814470084")</f>
        <v>0814470084</v>
      </c>
      <c r="K421" t="str">
        <f>("504")</f>
        <v>504</v>
      </c>
      <c r="L421" t="str">
        <f t="shared" si="170"/>
        <v>2001/10/10 00:00:00</v>
      </c>
      <c r="M421" t="str">
        <f>("2018/08/11 13:34:22")</f>
        <v>2018/08/11 13:34:22</v>
      </c>
      <c r="N421" t="str">
        <f>("1996")</f>
        <v>1996</v>
      </c>
      <c r="O421" t="str">
        <f t="shared" si="178"/>
        <v>4F西文書庫 4F Western Language Books</v>
      </c>
      <c r="P421" t="s">
        <v>64</v>
      </c>
      <c r="W421" t="str">
        <f t="shared" si="160"/>
        <v>美國國會圖書分類法</v>
      </c>
      <c r="Y421" t="str">
        <f>("HD66")</f>
        <v>HD66</v>
      </c>
      <c r="Z421" t="str">
        <f t="shared" si="181"/>
        <v>2018/08/11 13:34:22</v>
      </c>
      <c r="AA421" t="str">
        <f t="shared" si="171"/>
        <v>catc</v>
      </c>
      <c r="AC421" t="str">
        <f>("H158")</f>
        <v>H158</v>
      </c>
      <c r="AE421" t="str">
        <f t="shared" si="179"/>
        <v>c.1</v>
      </c>
      <c r="AF421" t="str">
        <f t="shared" si="177"/>
        <v>1.可借圖書</v>
      </c>
      <c r="AG421" t="str">
        <f t="shared" si="180"/>
        <v>在架</v>
      </c>
      <c r="AI421" t="s">
        <v>65</v>
      </c>
      <c r="AK421" t="str">
        <f t="shared" si="172"/>
        <v>一般(Normal)</v>
      </c>
      <c r="AO421" t="s">
        <v>65</v>
      </c>
      <c r="AS421" t="str">
        <f>("c1996. ")</f>
        <v xml:space="preserve">c1996. </v>
      </c>
      <c r="AT421" t="str">
        <f t="shared" si="173"/>
        <v>catc</v>
      </c>
    </row>
    <row r="422" spans="1:46" x14ac:dyDescent="0.25">
      <c r="A422">
        <v>411</v>
      </c>
      <c r="B422" t="str">
        <f>("289310")</f>
        <v>289310</v>
      </c>
      <c r="C422" t="str">
        <f>("W00002447")</f>
        <v>W00002447</v>
      </c>
      <c r="D422" t="str">
        <f>("Michael Jordan speaks : lessons from the world's greatest champion / ")</f>
        <v xml:space="preserve">Michael Jordan speaks : lessons from the world's greatest champion / </v>
      </c>
      <c r="E422" t="str">
        <f>("Jordan, Michael, 1963- ")</f>
        <v xml:space="preserve">Jordan, Michael, 1963- </v>
      </c>
      <c r="F422" t="str">
        <f>("J. Wiley &amp; Sons, ")</f>
        <v xml:space="preserve">J. Wiley &amp; Sons, </v>
      </c>
      <c r="H422" t="str">
        <f t="shared" si="176"/>
        <v>圖書 book</v>
      </c>
      <c r="I422" t="str">
        <f>("GV884.J67 J82 1999")</f>
        <v>GV884.J67 J82 1999</v>
      </c>
      <c r="J422" t="str">
        <f>("0471345644")</f>
        <v>0471345644</v>
      </c>
      <c r="K422" t="str">
        <f>("532")</f>
        <v>532</v>
      </c>
      <c r="L422" t="str">
        <f t="shared" si="170"/>
        <v>2001/10/10 00:00:00</v>
      </c>
      <c r="M422" t="str">
        <f>("2018/08/11 13:34:22")</f>
        <v>2018/08/11 13:34:22</v>
      </c>
      <c r="N422" t="str">
        <f>("1999")</f>
        <v>1999</v>
      </c>
      <c r="O422" t="str">
        <f t="shared" si="178"/>
        <v>4F西文書庫 4F Western Language Books</v>
      </c>
      <c r="P422" t="s">
        <v>64</v>
      </c>
      <c r="W422" t="str">
        <f t="shared" si="160"/>
        <v>美國國會圖書分類法</v>
      </c>
      <c r="Y422" t="str">
        <f>("GV884.J67")</f>
        <v>GV884.J67</v>
      </c>
      <c r="Z422" t="str">
        <f t="shared" si="181"/>
        <v>2018/08/11 13:34:22</v>
      </c>
      <c r="AA422" t="str">
        <f t="shared" si="171"/>
        <v>catc</v>
      </c>
      <c r="AC422" t="str">
        <f>("J82")</f>
        <v>J82</v>
      </c>
      <c r="AE422" t="str">
        <f t="shared" si="179"/>
        <v>c.1</v>
      </c>
      <c r="AF422" t="str">
        <f t="shared" si="177"/>
        <v>1.可借圖書</v>
      </c>
      <c r="AG422" t="str">
        <f t="shared" si="180"/>
        <v>在架</v>
      </c>
      <c r="AI422" t="s">
        <v>65</v>
      </c>
      <c r="AK422" t="str">
        <f t="shared" si="172"/>
        <v>一般(Normal)</v>
      </c>
      <c r="AO422" t="s">
        <v>65</v>
      </c>
      <c r="AS422" t="str">
        <f>("c1999. ")</f>
        <v xml:space="preserve">c1999. </v>
      </c>
      <c r="AT422" t="str">
        <f t="shared" si="173"/>
        <v>catc</v>
      </c>
    </row>
    <row r="423" spans="1:46" x14ac:dyDescent="0.25">
      <c r="A423">
        <v>412</v>
      </c>
      <c r="B423" t="str">
        <f>("289311")</f>
        <v>289311</v>
      </c>
      <c r="C423" t="str">
        <f>("W00002448")</f>
        <v>W00002448</v>
      </c>
      <c r="D423" t="str">
        <f>("Marketing strategies for the new economy/ ")</f>
        <v xml:space="preserve">Marketing strategies for the new economy/ </v>
      </c>
      <c r="E423" t="str">
        <f>("Tvede,Lars ")</f>
        <v xml:space="preserve">Tvede,Lars </v>
      </c>
      <c r="F423" t="str">
        <f>("John Wiley, ")</f>
        <v xml:space="preserve">John Wiley, </v>
      </c>
      <c r="H423" t="str">
        <f t="shared" si="176"/>
        <v>圖書 book</v>
      </c>
      <c r="I423" t="str">
        <f>("HF5415 T111 2001")</f>
        <v>HF5415 T111 2001</v>
      </c>
      <c r="J423" t="str">
        <f>("0471492116")</f>
        <v>0471492116</v>
      </c>
      <c r="K423" t="str">
        <f>("972")</f>
        <v>972</v>
      </c>
      <c r="L423" t="str">
        <f t="shared" si="170"/>
        <v>2001/10/10 00:00:00</v>
      </c>
      <c r="M423" t="str">
        <f>("2018/08/11 13:34:22")</f>
        <v>2018/08/11 13:34:22</v>
      </c>
      <c r="N423" t="str">
        <f>("2001")</f>
        <v>2001</v>
      </c>
      <c r="O423" t="str">
        <f t="shared" si="178"/>
        <v>4F西文書庫 4F Western Language Books</v>
      </c>
      <c r="P423" t="s">
        <v>64</v>
      </c>
      <c r="W423" t="str">
        <f t="shared" si="160"/>
        <v>美國國會圖書分類法</v>
      </c>
      <c r="Y423" t="str">
        <f>("HF5415")</f>
        <v>HF5415</v>
      </c>
      <c r="Z423" t="str">
        <f t="shared" si="181"/>
        <v>2018/08/11 13:34:22</v>
      </c>
      <c r="AA423" t="str">
        <f t="shared" si="171"/>
        <v>catc</v>
      </c>
      <c r="AC423" t="str">
        <f>("T111")</f>
        <v>T111</v>
      </c>
      <c r="AE423" t="str">
        <f t="shared" si="179"/>
        <v>c.1</v>
      </c>
      <c r="AF423" t="str">
        <f t="shared" si="177"/>
        <v>1.可借圖書</v>
      </c>
      <c r="AG423" t="str">
        <f t="shared" si="180"/>
        <v>在架</v>
      </c>
      <c r="AI423" t="s">
        <v>65</v>
      </c>
      <c r="AK423" t="str">
        <f t="shared" si="172"/>
        <v>一般(Normal)</v>
      </c>
      <c r="AO423" t="s">
        <v>65</v>
      </c>
      <c r="AS423" t="str">
        <f>("2001.")</f>
        <v>2001.</v>
      </c>
      <c r="AT423" t="str">
        <f t="shared" si="173"/>
        <v>catc</v>
      </c>
    </row>
    <row r="424" spans="1:46" x14ac:dyDescent="0.25">
      <c r="A424">
        <v>413</v>
      </c>
      <c r="B424" t="str">
        <f>("289324")</f>
        <v>289324</v>
      </c>
      <c r="C424" t="str">
        <f>("W00002449")</f>
        <v>W00002449</v>
      </c>
      <c r="D424" t="str">
        <f>("The psychology of money : an investment manager's guide to beating the market / ")</f>
        <v xml:space="preserve">The psychology of money : an investment manager's guide to beating the market / </v>
      </c>
      <c r="E424" t="str">
        <f>("Ware, Jim, 1954- ")</f>
        <v xml:space="preserve">Ware, Jim, 1954- </v>
      </c>
      <c r="H424" t="str">
        <f t="shared" si="176"/>
        <v>圖書 book</v>
      </c>
      <c r="I424" t="str">
        <f>("HG4515.15 W269 2001 c.2")</f>
        <v>HG4515.15 W269 2001 c.2</v>
      </c>
      <c r="J424" t="str">
        <f>("0471390747")</f>
        <v>0471390747</v>
      </c>
      <c r="K424" t="str">
        <f>("1216")</f>
        <v>1216</v>
      </c>
      <c r="L424" t="str">
        <f t="shared" si="170"/>
        <v>2001/10/10 00:00:00</v>
      </c>
      <c r="M424" t="str">
        <f t="shared" ref="M424:M431" si="182">("2018/08/11 13:34:23")</f>
        <v>2018/08/11 13:34:23</v>
      </c>
      <c r="N424" t="str">
        <f>("2001")</f>
        <v>2001</v>
      </c>
      <c r="O424" t="str">
        <f>("罕用書庫1-洽櫃台填單 Upon-Request Collection1 fil")</f>
        <v>罕用書庫1-洽櫃台填單 Upon-Request Collection1 fil</v>
      </c>
      <c r="P424" t="s">
        <v>64</v>
      </c>
      <c r="S424" t="str">
        <f>("xiv, 258 p. : ")</f>
        <v xml:space="preserve">xiv, 258 p. : </v>
      </c>
      <c r="T424" t="str">
        <f>("ill. ; ")</f>
        <v xml:space="preserve">ill. ; </v>
      </c>
      <c r="U424" t="str">
        <f>("24 cm. ")</f>
        <v xml:space="preserve">24 cm. </v>
      </c>
      <c r="W424" t="str">
        <f t="shared" si="160"/>
        <v>美國國會圖書分類法</v>
      </c>
      <c r="Y424" t="str">
        <f>("HG4515.15")</f>
        <v>HG4515.15</v>
      </c>
      <c r="Z424" t="str">
        <f t="shared" si="181"/>
        <v>2018/08/11 13:34:22</v>
      </c>
      <c r="AA424" t="str">
        <f t="shared" si="171"/>
        <v>catc</v>
      </c>
      <c r="AC424" t="str">
        <f>("W269")</f>
        <v>W269</v>
      </c>
      <c r="AE424" t="str">
        <f>("c.2")</f>
        <v>c.2</v>
      </c>
      <c r="AF424" t="str">
        <f>("不流通")</f>
        <v>不流通</v>
      </c>
      <c r="AG424" t="str">
        <f>("報銷中")</f>
        <v>報銷中</v>
      </c>
      <c r="AI424" t="s">
        <v>65</v>
      </c>
      <c r="AK424" t="str">
        <f t="shared" si="172"/>
        <v>一般(Normal)</v>
      </c>
      <c r="AO424" t="s">
        <v>65</v>
      </c>
      <c r="AT424" t="str">
        <f t="shared" si="173"/>
        <v>catc</v>
      </c>
    </row>
    <row r="425" spans="1:46" x14ac:dyDescent="0.25">
      <c r="A425">
        <v>414</v>
      </c>
      <c r="B425" t="str">
        <f>("289325")</f>
        <v>289325</v>
      </c>
      <c r="C425" t="str">
        <f>("W00002450")</f>
        <v>W00002450</v>
      </c>
      <c r="D425" t="str">
        <f>("Electronic commerce and the law/ ")</f>
        <v xml:space="preserve">Electronic commerce and the law/ </v>
      </c>
      <c r="E425" t="str">
        <f>("Forder,Jay ")</f>
        <v xml:space="preserve">Forder,Jay </v>
      </c>
      <c r="F425" t="str">
        <f>("Wiley, ")</f>
        <v xml:space="preserve">Wiley, </v>
      </c>
      <c r="H425" t="str">
        <f t="shared" si="176"/>
        <v>圖書 book</v>
      </c>
      <c r="I425" t="str">
        <f>("TK787 F699 2001")</f>
        <v>TK787 F699 2001</v>
      </c>
      <c r="J425" t="str">
        <f>("0471341649")</f>
        <v>0471341649</v>
      </c>
      <c r="K425" t="str">
        <f>("1488")</f>
        <v>1488</v>
      </c>
      <c r="L425" t="str">
        <f t="shared" si="170"/>
        <v>2001/10/10 00:00:00</v>
      </c>
      <c r="M425" t="str">
        <f t="shared" si="182"/>
        <v>2018/08/11 13:34:23</v>
      </c>
      <c r="N425" t="str">
        <f>("2001")</f>
        <v>2001</v>
      </c>
      <c r="O425" t="str">
        <f>("4F西文書庫 4F Western Language Books")</f>
        <v>4F西文書庫 4F Western Language Books</v>
      </c>
      <c r="P425" t="s">
        <v>64</v>
      </c>
      <c r="W425" t="str">
        <f t="shared" si="160"/>
        <v>美國國會圖書分類法</v>
      </c>
      <c r="Y425" t="str">
        <f>("TK787")</f>
        <v>TK787</v>
      </c>
      <c r="Z425" t="str">
        <f t="shared" ref="Z425:Z431" si="183">("2018/08/11 13:34:23")</f>
        <v>2018/08/11 13:34:23</v>
      </c>
      <c r="AA425" t="str">
        <f t="shared" si="171"/>
        <v>catc</v>
      </c>
      <c r="AC425" t="str">
        <f>("F699")</f>
        <v>F699</v>
      </c>
      <c r="AE425" t="str">
        <f>("c.1")</f>
        <v>c.1</v>
      </c>
      <c r="AF425" t="str">
        <f>("1.可借圖書")</f>
        <v>1.可借圖書</v>
      </c>
      <c r="AG425" t="str">
        <f>("在架")</f>
        <v>在架</v>
      </c>
      <c r="AI425" t="s">
        <v>65</v>
      </c>
      <c r="AK425" t="str">
        <f t="shared" si="172"/>
        <v>一般(Normal)</v>
      </c>
      <c r="AO425" t="s">
        <v>65</v>
      </c>
      <c r="AS425" t="str">
        <f>(" c2001.")</f>
        <v xml:space="preserve"> c2001.</v>
      </c>
      <c r="AT425" t="str">
        <f t="shared" si="173"/>
        <v>catc</v>
      </c>
    </row>
    <row r="426" spans="1:46" x14ac:dyDescent="0.25">
      <c r="A426">
        <v>415</v>
      </c>
      <c r="B426" t="str">
        <f>("289326")</f>
        <v>289326</v>
      </c>
      <c r="C426" t="str">
        <f>("W00002451")</f>
        <v>W00002451</v>
      </c>
      <c r="D426" t="str">
        <f>("Managing workplace negativity / ")</f>
        <v xml:space="preserve">Managing workplace negativity / </v>
      </c>
      <c r="E426" t="str">
        <f>("Topchik, Gary S. ")</f>
        <v xml:space="preserve">Topchik, Gary S. </v>
      </c>
      <c r="F426" t="str">
        <f>("AMACOM, ")</f>
        <v xml:space="preserve">AMACOM, </v>
      </c>
      <c r="H426" t="str">
        <f t="shared" si="176"/>
        <v>圖書 book</v>
      </c>
      <c r="I426" t="str">
        <f>("HF5549.5.M6 T673 2001")</f>
        <v>HF5549.5.M6 T673 2001</v>
      </c>
      <c r="J426" t="str">
        <f>("0814405827")</f>
        <v>0814405827</v>
      </c>
      <c r="K426" t="str">
        <f>("632")</f>
        <v>632</v>
      </c>
      <c r="L426" t="str">
        <f t="shared" si="170"/>
        <v>2001/10/10 00:00:00</v>
      </c>
      <c r="M426" t="str">
        <f t="shared" si="182"/>
        <v>2018/08/11 13:34:23</v>
      </c>
      <c r="N426" t="str">
        <f>("2001")</f>
        <v>2001</v>
      </c>
      <c r="O426" t="str">
        <f>("4F西文書庫 4F Western Language Books")</f>
        <v>4F西文書庫 4F Western Language Books</v>
      </c>
      <c r="P426" t="s">
        <v>64</v>
      </c>
      <c r="W426" t="str">
        <f t="shared" si="160"/>
        <v>美國國會圖書分類法</v>
      </c>
      <c r="Y426" t="str">
        <f>("HF5549.5.M6")</f>
        <v>HF5549.5.M6</v>
      </c>
      <c r="Z426" t="str">
        <f t="shared" si="183"/>
        <v>2018/08/11 13:34:23</v>
      </c>
      <c r="AA426" t="str">
        <f t="shared" si="171"/>
        <v>catc</v>
      </c>
      <c r="AC426" t="str">
        <f>("T673")</f>
        <v>T673</v>
      </c>
      <c r="AE426" t="str">
        <f>("c.1")</f>
        <v>c.1</v>
      </c>
      <c r="AF426" t="str">
        <f>("1.可借圖書")</f>
        <v>1.可借圖書</v>
      </c>
      <c r="AG426" t="str">
        <f>("在架")</f>
        <v>在架</v>
      </c>
      <c r="AI426" t="s">
        <v>65</v>
      </c>
      <c r="AK426" t="str">
        <f t="shared" si="172"/>
        <v>一般(Normal)</v>
      </c>
      <c r="AO426" t="s">
        <v>65</v>
      </c>
      <c r="AS426" t="str">
        <f>("c2001. ")</f>
        <v xml:space="preserve">c2001. </v>
      </c>
      <c r="AT426" t="str">
        <f t="shared" si="173"/>
        <v>catc</v>
      </c>
    </row>
    <row r="427" spans="1:46" x14ac:dyDescent="0.25">
      <c r="A427">
        <v>416</v>
      </c>
      <c r="B427" t="str">
        <f>("289327")</f>
        <v>289327</v>
      </c>
      <c r="C427" t="str">
        <f>("W00002452")</f>
        <v>W00002452</v>
      </c>
      <c r="D427" t="str">
        <f>("Global information technology outsourcing : in search of business advantage / ")</f>
        <v xml:space="preserve">Global information technology outsourcing : in search of business advantage / </v>
      </c>
      <c r="E427" t="str">
        <f>("Lacity, Mary Cecelia. ")</f>
        <v xml:space="preserve">Lacity, Mary Cecelia. </v>
      </c>
      <c r="F427" t="str">
        <f>("Wiley, ")</f>
        <v xml:space="preserve">Wiley, </v>
      </c>
      <c r="H427" t="str">
        <f t="shared" si="176"/>
        <v>圖書 book</v>
      </c>
      <c r="I427" t="str">
        <f>("HD2365 L139 2001")</f>
        <v>HD2365 L139 2001</v>
      </c>
      <c r="J427" t="str">
        <f>("0471899593")</f>
        <v>0471899593</v>
      </c>
      <c r="K427" t="str">
        <f>("1176")</f>
        <v>1176</v>
      </c>
      <c r="L427" t="str">
        <f t="shared" si="170"/>
        <v>2001/10/10 00:00:00</v>
      </c>
      <c r="M427" t="str">
        <f t="shared" si="182"/>
        <v>2018/08/11 13:34:23</v>
      </c>
      <c r="N427" t="str">
        <f>("2001")</f>
        <v>2001</v>
      </c>
      <c r="O427" t="str">
        <f>("4F西文書庫 4F Western Language Books")</f>
        <v>4F西文書庫 4F Western Language Books</v>
      </c>
      <c r="P427" t="s">
        <v>64</v>
      </c>
      <c r="W427" t="str">
        <f t="shared" si="160"/>
        <v>美國國會圖書分類法</v>
      </c>
      <c r="Y427" t="str">
        <f>("HD2365")</f>
        <v>HD2365</v>
      </c>
      <c r="Z427" t="str">
        <f t="shared" si="183"/>
        <v>2018/08/11 13:34:23</v>
      </c>
      <c r="AA427" t="str">
        <f t="shared" si="171"/>
        <v>catc</v>
      </c>
      <c r="AC427" t="str">
        <f>("L139")</f>
        <v>L139</v>
      </c>
      <c r="AE427" t="str">
        <f>("c.1")</f>
        <v>c.1</v>
      </c>
      <c r="AF427" t="str">
        <f>("1.可借圖書")</f>
        <v>1.可借圖書</v>
      </c>
      <c r="AG427" t="str">
        <f>("在架")</f>
        <v>在架</v>
      </c>
      <c r="AI427" t="s">
        <v>65</v>
      </c>
      <c r="AK427" t="str">
        <f t="shared" si="172"/>
        <v>一般(Normal)</v>
      </c>
      <c r="AO427" t="s">
        <v>65</v>
      </c>
      <c r="AS427" t="str">
        <f>("c2001. ")</f>
        <v xml:space="preserve">c2001. </v>
      </c>
      <c r="AT427" t="str">
        <f t="shared" si="173"/>
        <v>catc</v>
      </c>
    </row>
    <row r="428" spans="1:46" x14ac:dyDescent="0.25">
      <c r="A428">
        <v>417</v>
      </c>
      <c r="B428" t="str">
        <f>("289328")</f>
        <v>289328</v>
      </c>
      <c r="C428" t="str">
        <f>("W00002453")</f>
        <v>W00002453</v>
      </c>
      <c r="D428" t="str">
        <f>("Nurse's quick reference to common laboratory and diagnostic tests / ")</f>
        <v xml:space="preserve">Nurse's quick reference to common laboratory and diagnostic tests / </v>
      </c>
      <c r="E428" t="str">
        <f>("")</f>
        <v/>
      </c>
      <c r="F428" t="str">
        <f>("Lippincott, ")</f>
        <v xml:space="preserve">Lippincott, </v>
      </c>
      <c r="G428" t="str">
        <f>("2nd ed. ")</f>
        <v xml:space="preserve">2nd ed. </v>
      </c>
      <c r="H428" t="str">
        <f t="shared" si="176"/>
        <v>圖書 book</v>
      </c>
      <c r="I428" t="str">
        <f>("RT48.5 N974 1998")</f>
        <v>RT48.5 N974 1998</v>
      </c>
      <c r="J428" t="str">
        <f>("0781710316")</f>
        <v>0781710316</v>
      </c>
      <c r="K428" t="str">
        <f>("588")</f>
        <v>588</v>
      </c>
      <c r="L428" t="str">
        <f t="shared" si="170"/>
        <v>2001/10/10 00:00:00</v>
      </c>
      <c r="M428" t="str">
        <f t="shared" si="182"/>
        <v>2018/08/11 13:34:23</v>
      </c>
      <c r="N428" t="str">
        <f>("1998")</f>
        <v>1998</v>
      </c>
      <c r="O428" t="str">
        <f>("4F西文書庫 4F Western Language Books")</f>
        <v>4F西文書庫 4F Western Language Books</v>
      </c>
      <c r="P428" t="s">
        <v>64</v>
      </c>
      <c r="W428" t="str">
        <f t="shared" si="160"/>
        <v>美國國會圖書分類法</v>
      </c>
      <c r="Y428" t="str">
        <f>("RT48.5")</f>
        <v>RT48.5</v>
      </c>
      <c r="Z428" t="str">
        <f t="shared" si="183"/>
        <v>2018/08/11 13:34:23</v>
      </c>
      <c r="AA428" t="str">
        <f t="shared" si="171"/>
        <v>catc</v>
      </c>
      <c r="AC428" t="str">
        <f>("N974")</f>
        <v>N974</v>
      </c>
      <c r="AE428" t="str">
        <f>("c.1")</f>
        <v>c.1</v>
      </c>
      <c r="AF428" t="str">
        <f>("1.可借圖書")</f>
        <v>1.可借圖書</v>
      </c>
      <c r="AG428" t="str">
        <f>("在架")</f>
        <v>在架</v>
      </c>
      <c r="AI428" t="s">
        <v>65</v>
      </c>
      <c r="AK428" t="str">
        <f t="shared" si="172"/>
        <v>一般(Normal)</v>
      </c>
      <c r="AO428" t="s">
        <v>65</v>
      </c>
      <c r="AS428" t="str">
        <f>("c1998. ")</f>
        <v xml:space="preserve">c1998. </v>
      </c>
      <c r="AT428" t="str">
        <f t="shared" si="173"/>
        <v>catc</v>
      </c>
    </row>
    <row r="429" spans="1:46" x14ac:dyDescent="0.25">
      <c r="A429">
        <v>418</v>
      </c>
      <c r="B429" t="str">
        <f>("289312")</f>
        <v>289312</v>
      </c>
      <c r="C429" t="str">
        <f>("W00002454")</f>
        <v>W00002454</v>
      </c>
      <c r="D429" t="str">
        <f>("Connected :a global approach to managing complexity /")</f>
        <v>Connected :a global approach to managing complexity /</v>
      </c>
      <c r="E429" t="str">
        <f>("Sussland, Willy A ")</f>
        <v xml:space="preserve">Sussland, Willy A </v>
      </c>
      <c r="F429" t="str">
        <f>("Business Press,")</f>
        <v>Business Press,</v>
      </c>
      <c r="G429" t="str">
        <f>("1st ed ")</f>
        <v xml:space="preserve">1st ed </v>
      </c>
      <c r="H429" t="str">
        <f t="shared" si="176"/>
        <v>圖書 book</v>
      </c>
      <c r="I429" t="str">
        <f>("HD39.5 S964 2000")</f>
        <v>HD39.5 S964 2000</v>
      </c>
      <c r="J429" t="str">
        <f>("1861525052")</f>
        <v>1861525052</v>
      </c>
      <c r="K429" t="str">
        <f>("972")</f>
        <v>972</v>
      </c>
      <c r="L429" t="str">
        <f t="shared" si="170"/>
        <v>2001/10/10 00:00:00</v>
      </c>
      <c r="M429" t="str">
        <f t="shared" si="182"/>
        <v>2018/08/11 13:34:23</v>
      </c>
      <c r="N429" t="str">
        <f>("2000")</f>
        <v>2000</v>
      </c>
      <c r="O429" t="str">
        <f>("4F西文書庫 4F Western Language Books")</f>
        <v>4F西文書庫 4F Western Language Books</v>
      </c>
      <c r="P429" t="s">
        <v>64</v>
      </c>
      <c r="S429" t="str">
        <f>("xvii, 233 p. :")</f>
        <v>xvii, 233 p. :</v>
      </c>
      <c r="T429" t="str">
        <f>("ill. ;")</f>
        <v>ill. ;</v>
      </c>
      <c r="U429" t="str">
        <f>("24 cm ")</f>
        <v xml:space="preserve">24 cm </v>
      </c>
      <c r="W429" t="str">
        <f t="shared" si="160"/>
        <v>美國國會圖書分類法</v>
      </c>
      <c r="Y429" t="str">
        <f>("HD39.5")</f>
        <v>HD39.5</v>
      </c>
      <c r="Z429" t="str">
        <f t="shared" si="183"/>
        <v>2018/08/11 13:34:23</v>
      </c>
      <c r="AA429" t="str">
        <f t="shared" si="171"/>
        <v>catc</v>
      </c>
      <c r="AC429" t="str">
        <f>("S964")</f>
        <v>S964</v>
      </c>
      <c r="AE429" t="str">
        <f>("c.1")</f>
        <v>c.1</v>
      </c>
      <c r="AF429" t="str">
        <f>("1.可借圖書")</f>
        <v>1.可借圖書</v>
      </c>
      <c r="AG429" t="str">
        <f>("在架")</f>
        <v>在架</v>
      </c>
      <c r="AI429" t="s">
        <v>65</v>
      </c>
      <c r="AK429" t="str">
        <f t="shared" si="172"/>
        <v>一般(Normal)</v>
      </c>
      <c r="AO429" t="s">
        <v>65</v>
      </c>
      <c r="AS429" t="str">
        <f>("c2000 ")</f>
        <v xml:space="preserve">c2000 </v>
      </c>
      <c r="AT429" t="str">
        <f t="shared" si="173"/>
        <v>catc</v>
      </c>
    </row>
    <row r="430" spans="1:46" x14ac:dyDescent="0.25">
      <c r="A430">
        <v>419</v>
      </c>
      <c r="B430" t="str">
        <f>("289313")</f>
        <v>289313</v>
      </c>
      <c r="C430" t="str">
        <f>("W00002455")</f>
        <v>W00002455</v>
      </c>
      <c r="D430" t="str">
        <f>("Brand asset management :driving profitable growth through your brands /")</f>
        <v>Brand asset management :driving profitable growth through your brands /</v>
      </c>
      <c r="E430" t="str">
        <f>("Davis, Scott, 1964- ")</f>
        <v xml:space="preserve">Davis, Scott, 1964- </v>
      </c>
      <c r="F430" t="str">
        <f>("Jossey-Bass,")</f>
        <v>Jossey-Bass,</v>
      </c>
      <c r="G430" t="str">
        <f>("1st ed. ")</f>
        <v xml:space="preserve">1st ed. </v>
      </c>
      <c r="H430" t="str">
        <f t="shared" si="176"/>
        <v>圖書 book</v>
      </c>
      <c r="I430" t="str">
        <f>("HD69.B7 D264 2000 c.2")</f>
        <v>HD69.B7 D264 2000 c.2</v>
      </c>
      <c r="J430" t="str">
        <f>("0787950777")</f>
        <v>0787950777</v>
      </c>
      <c r="K430" t="str">
        <f>("1060")</f>
        <v>1060</v>
      </c>
      <c r="L430" t="str">
        <f t="shared" si="170"/>
        <v>2001/10/10 00:00:00</v>
      </c>
      <c r="M430" t="str">
        <f t="shared" si="182"/>
        <v>2018/08/11 13:34:23</v>
      </c>
      <c r="N430" t="str">
        <f>("2000")</f>
        <v>2000</v>
      </c>
      <c r="O430" t="str">
        <f>("罕用書庫1-洽櫃台填單 Upon-Request Collection1 fil")</f>
        <v>罕用書庫1-洽櫃台填單 Upon-Request Collection1 fil</v>
      </c>
      <c r="P430" t="s">
        <v>64</v>
      </c>
      <c r="S430" t="str">
        <f>("xvi, 265 p. :")</f>
        <v>xvi, 265 p. :</v>
      </c>
      <c r="T430" t="str">
        <f>("ill. ;")</f>
        <v>ill. ;</v>
      </c>
      <c r="U430" t="str">
        <f>("24 cm. ")</f>
        <v xml:space="preserve">24 cm. </v>
      </c>
      <c r="W430" t="str">
        <f t="shared" si="160"/>
        <v>美國國會圖書分類法</v>
      </c>
      <c r="Y430" t="str">
        <f>("HD69.B7")</f>
        <v>HD69.B7</v>
      </c>
      <c r="Z430" t="str">
        <f t="shared" si="183"/>
        <v>2018/08/11 13:34:23</v>
      </c>
      <c r="AA430" t="str">
        <f t="shared" si="171"/>
        <v>catc</v>
      </c>
      <c r="AC430" t="str">
        <f>("D264")</f>
        <v>D264</v>
      </c>
      <c r="AE430" t="str">
        <f>("c.2")</f>
        <v>c.2</v>
      </c>
      <c r="AF430" t="str">
        <f>("不流通")</f>
        <v>不流通</v>
      </c>
      <c r="AG430" t="str">
        <f>("報銷中")</f>
        <v>報銷中</v>
      </c>
      <c r="AI430" t="s">
        <v>65</v>
      </c>
      <c r="AK430" t="str">
        <f t="shared" si="172"/>
        <v>一般(Normal)</v>
      </c>
      <c r="AO430" t="s">
        <v>65</v>
      </c>
      <c r="AS430" t="str">
        <f>("c2000. ")</f>
        <v xml:space="preserve">c2000. </v>
      </c>
      <c r="AT430" t="str">
        <f t="shared" si="173"/>
        <v>catc</v>
      </c>
    </row>
    <row r="431" spans="1:46" x14ac:dyDescent="0.25">
      <c r="A431">
        <v>420</v>
      </c>
      <c r="B431" t="str">
        <f>("289314")</f>
        <v>289314</v>
      </c>
      <c r="C431" t="str">
        <f>("W00002456")</f>
        <v>W00002456</v>
      </c>
      <c r="D431" t="str">
        <f>("From the trenches :strategies from industry leaders on the new e-conomy /")</f>
        <v>From the trenches :strategies from industry leaders on the new e-conomy /</v>
      </c>
      <c r="E431" t="str">
        <f>("Kelly, Erin J ")</f>
        <v xml:space="preserve">Kelly, Erin J </v>
      </c>
      <c r="F431" t="str">
        <f>("J. Wiley &amp; Sons Canada,")</f>
        <v>J. Wiley &amp; Sons Canada,</v>
      </c>
      <c r="H431" t="str">
        <f t="shared" si="176"/>
        <v>圖書 book</v>
      </c>
      <c r="I431" t="str">
        <f>("HD30.28 K29 2001")</f>
        <v>HD30.28 K29 2001</v>
      </c>
      <c r="J431" t="str">
        <f>("0471646024")</f>
        <v>0471646024</v>
      </c>
      <c r="K431" t="str">
        <f>("728")</f>
        <v>728</v>
      </c>
      <c r="L431" t="str">
        <f t="shared" si="170"/>
        <v>2001/10/10 00:00:00</v>
      </c>
      <c r="M431" t="str">
        <f t="shared" si="182"/>
        <v>2018/08/11 13:34:23</v>
      </c>
      <c r="N431" t="str">
        <f>("2001")</f>
        <v>2001</v>
      </c>
      <c r="O431" t="str">
        <f t="shared" ref="O431:O460" si="184">("4F西文書庫 4F Western Language Books")</f>
        <v>4F西文書庫 4F Western Language Books</v>
      </c>
      <c r="P431" t="s">
        <v>64</v>
      </c>
      <c r="W431" t="str">
        <f t="shared" si="160"/>
        <v>美國國會圖書分類法</v>
      </c>
      <c r="Y431" t="str">
        <f>("HD30.28")</f>
        <v>HD30.28</v>
      </c>
      <c r="Z431" t="str">
        <f t="shared" si="183"/>
        <v>2018/08/11 13:34:23</v>
      </c>
      <c r="AA431" t="str">
        <f t="shared" si="171"/>
        <v>catc</v>
      </c>
      <c r="AC431" t="str">
        <f>("K29")</f>
        <v>K29</v>
      </c>
      <c r="AE431" t="str">
        <f>("c.1")</f>
        <v>c.1</v>
      </c>
      <c r="AF431" t="str">
        <f t="shared" ref="AF431:AF460" si="185">("1.可借圖書")</f>
        <v>1.可借圖書</v>
      </c>
      <c r="AG431" t="str">
        <f t="shared" ref="AG431:AG460" si="186">("在架")</f>
        <v>在架</v>
      </c>
      <c r="AI431" t="s">
        <v>65</v>
      </c>
      <c r="AK431" t="str">
        <f t="shared" si="172"/>
        <v>一般(Normal)</v>
      </c>
      <c r="AO431" t="s">
        <v>65</v>
      </c>
      <c r="AS431" t="str">
        <f>("c2001 ")</f>
        <v xml:space="preserve">c2001 </v>
      </c>
      <c r="AT431" t="str">
        <f t="shared" si="173"/>
        <v>catc</v>
      </c>
    </row>
    <row r="432" spans="1:46" x14ac:dyDescent="0.25">
      <c r="A432">
        <v>421</v>
      </c>
      <c r="B432" t="str">
        <f>("287960")</f>
        <v>287960</v>
      </c>
      <c r="C432" t="str">
        <f>("W00002457")</f>
        <v>W00002457</v>
      </c>
      <c r="D432" t="str">
        <f>("Improving customer satisfaction, loyalty, and profit :an integrated measurement and management system /")</f>
        <v>Improving customer satisfaction, loyalty, and profit :an integrated measurement and management system /</v>
      </c>
      <c r="E432" t="str">
        <f>("Johnson, Michael D.")</f>
        <v>Johnson, Michael D.</v>
      </c>
      <c r="F432" t="str">
        <f>("Jossey-Bass,")</f>
        <v>Jossey-Bass,</v>
      </c>
      <c r="G432" t="str">
        <f>("1st ed. ")</f>
        <v xml:space="preserve">1st ed. </v>
      </c>
      <c r="H432" t="str">
        <f t="shared" si="176"/>
        <v>圖書 book</v>
      </c>
      <c r="I432" t="str">
        <f>("HF5415.335 J68 2000 c.2")</f>
        <v>HF5415.335 J68 2000 c.2</v>
      </c>
      <c r="J432" t="str">
        <f>("0787953105")</f>
        <v>0787953105</v>
      </c>
      <c r="K432" t="str">
        <f>("760")</f>
        <v>760</v>
      </c>
      <c r="L432" t="str">
        <f t="shared" si="170"/>
        <v>2001/10/10 00:00:00</v>
      </c>
      <c r="M432" t="str">
        <f>("2018/08/11 13:32:11")</f>
        <v>2018/08/11 13:32:11</v>
      </c>
      <c r="N432" t="str">
        <f>("2000")</f>
        <v>2000</v>
      </c>
      <c r="O432" t="str">
        <f t="shared" si="184"/>
        <v>4F西文書庫 4F Western Language Books</v>
      </c>
      <c r="P432" t="s">
        <v>64</v>
      </c>
      <c r="W432" t="str">
        <f t="shared" si="160"/>
        <v>美國國會圖書分類法</v>
      </c>
      <c r="Y432" t="str">
        <f>("HF5415.335")</f>
        <v>HF5415.335</v>
      </c>
      <c r="Z432" t="str">
        <f>("2018/08/11 13:32:11")</f>
        <v>2018/08/11 13:32:11</v>
      </c>
      <c r="AA432" t="str">
        <f t="shared" si="171"/>
        <v>catc</v>
      </c>
      <c r="AC432" t="str">
        <f>("J68")</f>
        <v>J68</v>
      </c>
      <c r="AE432" t="str">
        <f>("c.2")</f>
        <v>c.2</v>
      </c>
      <c r="AF432" t="str">
        <f t="shared" si="185"/>
        <v>1.可借圖書</v>
      </c>
      <c r="AG432" t="str">
        <f t="shared" si="186"/>
        <v>在架</v>
      </c>
      <c r="AI432" t="s">
        <v>65</v>
      </c>
      <c r="AK432" t="str">
        <f t="shared" si="172"/>
        <v>一般(Normal)</v>
      </c>
      <c r="AO432" t="s">
        <v>65</v>
      </c>
      <c r="AS432" t="str">
        <f>("c2000. ")</f>
        <v xml:space="preserve">c2000. </v>
      </c>
      <c r="AT432" t="str">
        <f t="shared" si="173"/>
        <v>catc</v>
      </c>
    </row>
    <row r="433" spans="1:46" x14ac:dyDescent="0.25">
      <c r="A433">
        <v>422</v>
      </c>
      <c r="B433" t="str">
        <f>("289315")</f>
        <v>289315</v>
      </c>
      <c r="C433" t="str">
        <f>("W00002458")</f>
        <v>W00002458</v>
      </c>
      <c r="D433" t="str">
        <f>("Sales management :concepts and cases /")</f>
        <v>Sales management :concepts and cases /</v>
      </c>
      <c r="E433" t="str">
        <f>("Dalrymple, Douglas J ")</f>
        <v xml:space="preserve">Dalrymple, Douglas J </v>
      </c>
      <c r="F433" t="str">
        <f>("Wiley,")</f>
        <v>Wiley,</v>
      </c>
      <c r="G433" t="str">
        <f>("4th ed ")</f>
        <v xml:space="preserve">4th ed </v>
      </c>
      <c r="H433" t="str">
        <f t="shared" si="176"/>
        <v>圖書 book</v>
      </c>
      <c r="I433" t="str">
        <f>("HF5438.4 D151 1998")</f>
        <v>HF5438.4 D151 1998</v>
      </c>
      <c r="J433" t="str">
        <f>("0471191973")</f>
        <v>0471191973</v>
      </c>
      <c r="K433" t="str">
        <f>("1032")</f>
        <v>1032</v>
      </c>
      <c r="L433" t="str">
        <f t="shared" si="170"/>
        <v>2001/10/10 00:00:00</v>
      </c>
      <c r="M433" t="str">
        <f>("2018/08/11 13:34:23")</f>
        <v>2018/08/11 13:34:23</v>
      </c>
      <c r="N433" t="str">
        <f>("1998")</f>
        <v>1998</v>
      </c>
      <c r="O433" t="str">
        <f t="shared" si="184"/>
        <v>4F西文書庫 4F Western Language Books</v>
      </c>
      <c r="P433" t="s">
        <v>64</v>
      </c>
      <c r="W433" t="str">
        <f t="shared" si="160"/>
        <v>美國國會圖書分類法</v>
      </c>
      <c r="Y433" t="str">
        <f>("HF5438.4")</f>
        <v>HF5438.4</v>
      </c>
      <c r="Z433" t="str">
        <f>("2018/08/11 13:34:23")</f>
        <v>2018/08/11 13:34:23</v>
      </c>
      <c r="AA433" t="str">
        <f t="shared" si="171"/>
        <v>catc</v>
      </c>
      <c r="AC433" t="str">
        <f>("D151")</f>
        <v>D151</v>
      </c>
      <c r="AE433" t="str">
        <f t="shared" ref="AE433:AE460" si="187">("c.1")</f>
        <v>c.1</v>
      </c>
      <c r="AF433" t="str">
        <f t="shared" si="185"/>
        <v>1.可借圖書</v>
      </c>
      <c r="AG433" t="str">
        <f t="shared" si="186"/>
        <v>在架</v>
      </c>
      <c r="AI433" t="s">
        <v>65</v>
      </c>
      <c r="AK433" t="str">
        <f t="shared" si="172"/>
        <v>一般(Normal)</v>
      </c>
      <c r="AO433" t="s">
        <v>65</v>
      </c>
      <c r="AS433" t="str">
        <f>("c1992 ")</f>
        <v xml:space="preserve">c1992 </v>
      </c>
      <c r="AT433" t="str">
        <f t="shared" si="173"/>
        <v>catc</v>
      </c>
    </row>
    <row r="434" spans="1:46" x14ac:dyDescent="0.25">
      <c r="A434">
        <v>423</v>
      </c>
      <c r="B434" t="str">
        <f>("289316")</f>
        <v>289316</v>
      </c>
      <c r="C434" t="str">
        <f>("W00002459")</f>
        <v>W00002459</v>
      </c>
      <c r="D434" t="str">
        <f>("Data Management:Databases and organizations/")</f>
        <v>Data Management:Databases and organizations/</v>
      </c>
      <c r="E434" t="str">
        <f>("Watson,Richard T.1948-")</f>
        <v>Watson,Richard T.1948-</v>
      </c>
      <c r="F434" t="str">
        <f>("WILEY,")</f>
        <v>WILEY,</v>
      </c>
      <c r="G434" t="str">
        <f>("2nd. ed.")</f>
        <v>2nd. ed.</v>
      </c>
      <c r="H434" t="str">
        <f t="shared" si="176"/>
        <v>圖書 book</v>
      </c>
      <c r="I434" t="str">
        <f>("QA76.9 W338 1999")</f>
        <v>QA76.9 W338 1999</v>
      </c>
      <c r="J434" t="str">
        <f>("00471180742")</f>
        <v>00471180742</v>
      </c>
      <c r="K434" t="str">
        <f>("936")</f>
        <v>936</v>
      </c>
      <c r="L434" t="str">
        <f t="shared" si="170"/>
        <v>2001/10/10 00:00:00</v>
      </c>
      <c r="M434" t="str">
        <f t="shared" ref="M434:M444" si="188">("2018/08/11 13:34:24")</f>
        <v>2018/08/11 13:34:24</v>
      </c>
      <c r="N434" t="str">
        <f>("1999")</f>
        <v>1999</v>
      </c>
      <c r="O434" t="str">
        <f t="shared" si="184"/>
        <v>4F西文書庫 4F Western Language Books</v>
      </c>
      <c r="P434" t="s">
        <v>64</v>
      </c>
      <c r="W434" t="str">
        <f t="shared" si="160"/>
        <v>美國國會圖書分類法</v>
      </c>
      <c r="Y434" t="str">
        <f>("QA76.9")</f>
        <v>QA76.9</v>
      </c>
      <c r="Z434" t="str">
        <f>("2018/08/11 13:34:23")</f>
        <v>2018/08/11 13:34:23</v>
      </c>
      <c r="AA434" t="str">
        <f t="shared" si="171"/>
        <v>catc</v>
      </c>
      <c r="AC434" t="str">
        <f>("W338")</f>
        <v>W338</v>
      </c>
      <c r="AE434" t="str">
        <f t="shared" si="187"/>
        <v>c.1</v>
      </c>
      <c r="AF434" t="str">
        <f t="shared" si="185"/>
        <v>1.可借圖書</v>
      </c>
      <c r="AG434" t="str">
        <f t="shared" si="186"/>
        <v>在架</v>
      </c>
      <c r="AI434" t="s">
        <v>65</v>
      </c>
      <c r="AK434" t="str">
        <f t="shared" si="172"/>
        <v>一般(Normal)</v>
      </c>
      <c r="AO434" t="s">
        <v>65</v>
      </c>
      <c r="AS434" t="str">
        <f>("1999")</f>
        <v>1999</v>
      </c>
      <c r="AT434" t="str">
        <f t="shared" si="173"/>
        <v>catc</v>
      </c>
    </row>
    <row r="435" spans="1:46" x14ac:dyDescent="0.25">
      <c r="A435">
        <v>424</v>
      </c>
      <c r="B435" t="str">
        <f>("289317")</f>
        <v>289317</v>
      </c>
      <c r="C435" t="str">
        <f>("W00002460")</f>
        <v>W00002460</v>
      </c>
      <c r="D435" t="str">
        <f>("Services marketing /")</f>
        <v>Services marketing /</v>
      </c>
      <c r="E435" t="str">
        <f>("Kurtz, David L ")</f>
        <v xml:space="preserve">Kurtz, David L </v>
      </c>
      <c r="F435" t="str">
        <f>("J. Wiley &amp; Sons,")</f>
        <v>J. Wiley &amp; Sons,</v>
      </c>
      <c r="H435" t="str">
        <f t="shared" si="176"/>
        <v>圖書 book</v>
      </c>
      <c r="I435" t="str">
        <f>("HD9980.5 K95 1998")</f>
        <v>HD9980.5 K95 1998</v>
      </c>
      <c r="J435" t="str">
        <f>("0471180343")</f>
        <v>0471180343</v>
      </c>
      <c r="K435" t="str">
        <f>("1056")</f>
        <v>1056</v>
      </c>
      <c r="L435" t="str">
        <f t="shared" si="170"/>
        <v>2001/10/10 00:00:00</v>
      </c>
      <c r="M435" t="str">
        <f t="shared" si="188"/>
        <v>2018/08/11 13:34:24</v>
      </c>
      <c r="N435" t="str">
        <f>("1998")</f>
        <v>1998</v>
      </c>
      <c r="O435" t="str">
        <f t="shared" si="184"/>
        <v>4F西文書庫 4F Western Language Books</v>
      </c>
      <c r="P435" t="s">
        <v>64</v>
      </c>
      <c r="W435" t="str">
        <f t="shared" si="160"/>
        <v>美國國會圖書分類法</v>
      </c>
      <c r="Y435" t="str">
        <f>("HD9980.5")</f>
        <v>HD9980.5</v>
      </c>
      <c r="Z435" t="str">
        <f t="shared" ref="Z435:Z444" si="189">("2018/08/11 13:34:24")</f>
        <v>2018/08/11 13:34:24</v>
      </c>
      <c r="AA435" t="str">
        <f t="shared" si="171"/>
        <v>catc</v>
      </c>
      <c r="AC435" t="str">
        <f>("K95")</f>
        <v>K95</v>
      </c>
      <c r="AE435" t="str">
        <f t="shared" si="187"/>
        <v>c.1</v>
      </c>
      <c r="AF435" t="str">
        <f t="shared" si="185"/>
        <v>1.可借圖書</v>
      </c>
      <c r="AG435" t="str">
        <f t="shared" si="186"/>
        <v>在架</v>
      </c>
      <c r="AI435" t="s">
        <v>65</v>
      </c>
      <c r="AK435" t="str">
        <f t="shared" si="172"/>
        <v>一般(Normal)</v>
      </c>
      <c r="AO435" t="s">
        <v>65</v>
      </c>
      <c r="AS435" t="str">
        <f>("c1998 ")</f>
        <v xml:space="preserve">c1998 </v>
      </c>
      <c r="AT435" t="str">
        <f t="shared" si="173"/>
        <v>catc</v>
      </c>
    </row>
    <row r="436" spans="1:46" x14ac:dyDescent="0.25">
      <c r="A436">
        <v>425</v>
      </c>
      <c r="B436" t="str">
        <f>("289318")</f>
        <v>289318</v>
      </c>
      <c r="C436" t="str">
        <f>("W00002461")</f>
        <v>W00002461</v>
      </c>
      <c r="D436" t="str">
        <f>("Understanding and managing organizational behavior /")</f>
        <v>Understanding and managing organizational behavior /</v>
      </c>
      <c r="E436" t="str">
        <f>("George, Jennifer M ")</f>
        <v xml:space="preserve">George, Jennifer M </v>
      </c>
      <c r="F436" t="str">
        <f>("Addison-Wesley,")</f>
        <v>Addison-Wesley,</v>
      </c>
      <c r="G436" t="str">
        <f>("2nd ed ")</f>
        <v xml:space="preserve">2nd ed </v>
      </c>
      <c r="H436" t="str">
        <f t="shared" si="176"/>
        <v>圖書 book</v>
      </c>
      <c r="I436" t="str">
        <f>("HD58.7 G347 1999")</f>
        <v>HD58.7 G347 1999</v>
      </c>
      <c r="J436" t="str">
        <f>("0201350637")</f>
        <v>0201350637</v>
      </c>
      <c r="K436" t="str">
        <f>("1056")</f>
        <v>1056</v>
      </c>
      <c r="L436" t="str">
        <f t="shared" si="170"/>
        <v>2001/10/10 00:00:00</v>
      </c>
      <c r="M436" t="str">
        <f t="shared" si="188"/>
        <v>2018/08/11 13:34:24</v>
      </c>
      <c r="N436" t="str">
        <f>("1999")</f>
        <v>1999</v>
      </c>
      <c r="O436" t="str">
        <f t="shared" si="184"/>
        <v>4F西文書庫 4F Western Language Books</v>
      </c>
      <c r="P436" t="s">
        <v>64</v>
      </c>
      <c r="W436" t="str">
        <f t="shared" si="160"/>
        <v>美國國會圖書分類法</v>
      </c>
      <c r="Y436" t="str">
        <f>("HD58.7")</f>
        <v>HD58.7</v>
      </c>
      <c r="Z436" t="str">
        <f t="shared" si="189"/>
        <v>2018/08/11 13:34:24</v>
      </c>
      <c r="AA436" t="str">
        <f t="shared" si="171"/>
        <v>catc</v>
      </c>
      <c r="AC436" t="str">
        <f>("G347")</f>
        <v>G347</v>
      </c>
      <c r="AE436" t="str">
        <f t="shared" si="187"/>
        <v>c.1</v>
      </c>
      <c r="AF436" t="str">
        <f t="shared" si="185"/>
        <v>1.可借圖書</v>
      </c>
      <c r="AG436" t="str">
        <f t="shared" si="186"/>
        <v>在架</v>
      </c>
      <c r="AI436" t="s">
        <v>65</v>
      </c>
      <c r="AK436" t="str">
        <f t="shared" si="172"/>
        <v>一般(Normal)</v>
      </c>
      <c r="AO436" t="s">
        <v>65</v>
      </c>
      <c r="AS436" t="str">
        <f>("c1999 ")</f>
        <v xml:space="preserve">c1999 </v>
      </c>
      <c r="AT436" t="str">
        <f t="shared" si="173"/>
        <v>catc</v>
      </c>
    </row>
    <row r="437" spans="1:46" x14ac:dyDescent="0.25">
      <c r="A437">
        <v>426</v>
      </c>
      <c r="B437" t="str">
        <f>("289319")</f>
        <v>289319</v>
      </c>
      <c r="C437" t="str">
        <f>("W00002462")</f>
        <v>W00002462</v>
      </c>
      <c r="D437" t="str">
        <f>("Economics /")</f>
        <v>Economics /</v>
      </c>
      <c r="E437" t="str">
        <f>("Lipsey, Richard G.,1928-")</f>
        <v>Lipsey, Richard G.,1928-</v>
      </c>
      <c r="F437" t="str">
        <f>("HarperCollins College Publishers,")</f>
        <v>HarperCollins College Publishers,</v>
      </c>
      <c r="G437" t="str">
        <f>("12th. ed")</f>
        <v>12th. ed</v>
      </c>
      <c r="H437" t="str">
        <f t="shared" si="176"/>
        <v>圖書 book</v>
      </c>
      <c r="I437" t="str">
        <f>("HB171.5 L767 1998")</f>
        <v>HB171.5 L767 1998</v>
      </c>
      <c r="J437" t="str">
        <f>("0201347393")</f>
        <v>0201347393</v>
      </c>
      <c r="K437" t="str">
        <f>("1176")</f>
        <v>1176</v>
      </c>
      <c r="L437" t="str">
        <f t="shared" si="170"/>
        <v>2001/10/10 00:00:00</v>
      </c>
      <c r="M437" t="str">
        <f t="shared" si="188"/>
        <v>2018/08/11 13:34:24</v>
      </c>
      <c r="N437" t="str">
        <f>("1998")</f>
        <v>1998</v>
      </c>
      <c r="O437" t="str">
        <f t="shared" si="184"/>
        <v>4F西文書庫 4F Western Language Books</v>
      </c>
      <c r="P437" t="s">
        <v>64</v>
      </c>
      <c r="W437" t="str">
        <f t="shared" ref="W437:W500" si="190">("美國國會圖書分類法")</f>
        <v>美國國會圖書分類法</v>
      </c>
      <c r="Y437" t="str">
        <f>("HB171.5")</f>
        <v>HB171.5</v>
      </c>
      <c r="Z437" t="str">
        <f t="shared" si="189"/>
        <v>2018/08/11 13:34:24</v>
      </c>
      <c r="AA437" t="str">
        <f t="shared" si="171"/>
        <v>catc</v>
      </c>
      <c r="AC437" t="str">
        <f>("L767")</f>
        <v>L767</v>
      </c>
      <c r="AE437" t="str">
        <f t="shared" si="187"/>
        <v>c.1</v>
      </c>
      <c r="AF437" t="str">
        <f t="shared" si="185"/>
        <v>1.可借圖書</v>
      </c>
      <c r="AG437" t="str">
        <f t="shared" si="186"/>
        <v>在架</v>
      </c>
      <c r="AI437" t="s">
        <v>65</v>
      </c>
      <c r="AK437" t="str">
        <f t="shared" si="172"/>
        <v>一般(Normal)</v>
      </c>
      <c r="AO437" t="s">
        <v>65</v>
      </c>
      <c r="AS437" t="str">
        <f>("c1998")</f>
        <v>c1998</v>
      </c>
      <c r="AT437" t="str">
        <f t="shared" si="173"/>
        <v>catc</v>
      </c>
    </row>
    <row r="438" spans="1:46" x14ac:dyDescent="0.25">
      <c r="A438">
        <v>427</v>
      </c>
      <c r="B438" t="str">
        <f>("289320")</f>
        <v>289320</v>
      </c>
      <c r="C438" t="str">
        <f>("W00002463")</f>
        <v>W00002463</v>
      </c>
      <c r="D438" t="str">
        <f>("Consumer behavior and managerial decision making/")</f>
        <v>Consumer behavior and managerial decision making/</v>
      </c>
      <c r="E438" t="str">
        <f>("Kardes,Frank R.")</f>
        <v>Kardes,Frank R.</v>
      </c>
      <c r="F438" t="str">
        <f>("WESLEY,")</f>
        <v>WESLEY,</v>
      </c>
      <c r="H438" t="str">
        <f t="shared" si="176"/>
        <v>圖書 book</v>
      </c>
      <c r="I438" t="str">
        <f>("HF5415.3 K18 1999")</f>
        <v>HF5415.3 K18 1999</v>
      </c>
      <c r="J438" t="str">
        <f>("0321001990")</f>
        <v>0321001990</v>
      </c>
      <c r="K438" t="str">
        <f>("1152")</f>
        <v>1152</v>
      </c>
      <c r="L438" t="str">
        <f t="shared" si="170"/>
        <v>2001/10/10 00:00:00</v>
      </c>
      <c r="M438" t="str">
        <f t="shared" si="188"/>
        <v>2018/08/11 13:34:24</v>
      </c>
      <c r="N438" t="str">
        <f>("1999")</f>
        <v>1999</v>
      </c>
      <c r="O438" t="str">
        <f t="shared" si="184"/>
        <v>4F西文書庫 4F Western Language Books</v>
      </c>
      <c r="P438" t="s">
        <v>64</v>
      </c>
      <c r="W438" t="str">
        <f t="shared" si="190"/>
        <v>美國國會圖書分類法</v>
      </c>
      <c r="Y438" t="str">
        <f>("HF5415.3")</f>
        <v>HF5415.3</v>
      </c>
      <c r="Z438" t="str">
        <f t="shared" si="189"/>
        <v>2018/08/11 13:34:24</v>
      </c>
      <c r="AA438" t="str">
        <f t="shared" si="171"/>
        <v>catc</v>
      </c>
      <c r="AC438" t="str">
        <f>("K18")</f>
        <v>K18</v>
      </c>
      <c r="AE438" t="str">
        <f t="shared" si="187"/>
        <v>c.1</v>
      </c>
      <c r="AF438" t="str">
        <f t="shared" si="185"/>
        <v>1.可借圖書</v>
      </c>
      <c r="AG438" t="str">
        <f t="shared" si="186"/>
        <v>在架</v>
      </c>
      <c r="AI438" t="s">
        <v>65</v>
      </c>
      <c r="AK438" t="str">
        <f t="shared" si="172"/>
        <v>一般(Normal)</v>
      </c>
      <c r="AO438" t="s">
        <v>65</v>
      </c>
      <c r="AS438" t="str">
        <f>("1999")</f>
        <v>1999</v>
      </c>
      <c r="AT438" t="str">
        <f t="shared" si="173"/>
        <v>catc</v>
      </c>
    </row>
    <row r="439" spans="1:46" x14ac:dyDescent="0.25">
      <c r="A439">
        <v>428</v>
      </c>
      <c r="B439" t="str">
        <f>("289341")</f>
        <v>289341</v>
      </c>
      <c r="C439" t="str">
        <f>("W00002464")</f>
        <v>W00002464</v>
      </c>
      <c r="D439" t="str">
        <f>("Decision support and data warehouse systems/")</f>
        <v>Decision support and data warehouse systems/</v>
      </c>
      <c r="E439" t="str">
        <f>("Mallach,Efrem G.")</f>
        <v>Mallach,Efrem G.</v>
      </c>
      <c r="F439" t="str">
        <f>("McGraw-Hill,")</f>
        <v>McGraw-Hill,</v>
      </c>
      <c r="H439" t="str">
        <f t="shared" si="176"/>
        <v>圖書 book</v>
      </c>
      <c r="I439" t="str">
        <f>("T58.62 M252 2000")</f>
        <v>T58.62 M252 2000</v>
      </c>
      <c r="J439" t="str">
        <f>("0071163565")</f>
        <v>0071163565</v>
      </c>
      <c r="K439" t="str">
        <f>("1104")</f>
        <v>1104</v>
      </c>
      <c r="L439" t="str">
        <f t="shared" si="170"/>
        <v>2001/10/10 00:00:00</v>
      </c>
      <c r="M439" t="str">
        <f t="shared" si="188"/>
        <v>2018/08/11 13:34:24</v>
      </c>
      <c r="N439" t="str">
        <f>("2000")</f>
        <v>2000</v>
      </c>
      <c r="O439" t="str">
        <f t="shared" si="184"/>
        <v>4F西文書庫 4F Western Language Books</v>
      </c>
      <c r="P439" t="s">
        <v>64</v>
      </c>
      <c r="W439" t="str">
        <f t="shared" si="190"/>
        <v>美國國會圖書分類法</v>
      </c>
      <c r="Y439" t="str">
        <f>("T58.62")</f>
        <v>T58.62</v>
      </c>
      <c r="Z439" t="str">
        <f t="shared" si="189"/>
        <v>2018/08/11 13:34:24</v>
      </c>
      <c r="AA439" t="str">
        <f t="shared" si="171"/>
        <v>catc</v>
      </c>
      <c r="AC439" t="str">
        <f>("M252")</f>
        <v>M252</v>
      </c>
      <c r="AE439" t="str">
        <f t="shared" si="187"/>
        <v>c.1</v>
      </c>
      <c r="AF439" t="str">
        <f t="shared" si="185"/>
        <v>1.可借圖書</v>
      </c>
      <c r="AG439" t="str">
        <f t="shared" si="186"/>
        <v>在架</v>
      </c>
      <c r="AI439" t="s">
        <v>65</v>
      </c>
      <c r="AK439" t="str">
        <f t="shared" si="172"/>
        <v>一般(Normal)</v>
      </c>
      <c r="AO439" t="s">
        <v>65</v>
      </c>
      <c r="AS439" t="str">
        <f>("2000.")</f>
        <v>2000.</v>
      </c>
      <c r="AT439" t="str">
        <f t="shared" si="173"/>
        <v>catc</v>
      </c>
    </row>
    <row r="440" spans="1:46" x14ac:dyDescent="0.25">
      <c r="A440">
        <v>429</v>
      </c>
      <c r="B440" t="str">
        <f>("289329")</f>
        <v>289329</v>
      </c>
      <c r="C440" t="str">
        <f>("W00002465")</f>
        <v>W00002465</v>
      </c>
      <c r="D440" t="str">
        <f>("Effective training :systems, strategies, and practices /")</f>
        <v>Effective training :systems, strategies, and practices /</v>
      </c>
      <c r="E440" t="str">
        <f>("Blanchard, P. Nick ")</f>
        <v xml:space="preserve">Blanchard, P. Nick </v>
      </c>
      <c r="F440" t="str">
        <f>("Prentice Hall,")</f>
        <v>Prentice Hall,</v>
      </c>
      <c r="H440" t="str">
        <f t="shared" si="176"/>
        <v>圖書 book</v>
      </c>
      <c r="I440" t="str">
        <f>("HF5549.5.T7 B639 1998")</f>
        <v>HF5549.5.T7 B639 1998</v>
      </c>
      <c r="J440" t="str">
        <f>("0132681609")</f>
        <v>0132681609</v>
      </c>
      <c r="K440" t="str">
        <f>("1020")</f>
        <v>1020</v>
      </c>
      <c r="L440" t="str">
        <f t="shared" si="170"/>
        <v>2001/10/10 00:00:00</v>
      </c>
      <c r="M440" t="str">
        <f t="shared" si="188"/>
        <v>2018/08/11 13:34:24</v>
      </c>
      <c r="N440" t="str">
        <f>("1998")</f>
        <v>1998</v>
      </c>
      <c r="O440" t="str">
        <f t="shared" si="184"/>
        <v>4F西文書庫 4F Western Language Books</v>
      </c>
      <c r="P440" t="s">
        <v>64</v>
      </c>
      <c r="W440" t="str">
        <f t="shared" si="190"/>
        <v>美國國會圖書分類法</v>
      </c>
      <c r="Y440" t="str">
        <f>("HF5549.5.T7")</f>
        <v>HF5549.5.T7</v>
      </c>
      <c r="Z440" t="str">
        <f t="shared" si="189"/>
        <v>2018/08/11 13:34:24</v>
      </c>
      <c r="AA440" t="str">
        <f t="shared" si="171"/>
        <v>catc</v>
      </c>
      <c r="AC440" t="str">
        <f>("B639")</f>
        <v>B639</v>
      </c>
      <c r="AE440" t="str">
        <f t="shared" si="187"/>
        <v>c.1</v>
      </c>
      <c r="AF440" t="str">
        <f t="shared" si="185"/>
        <v>1.可借圖書</v>
      </c>
      <c r="AG440" t="str">
        <f t="shared" si="186"/>
        <v>在架</v>
      </c>
      <c r="AI440" t="s">
        <v>65</v>
      </c>
      <c r="AK440" t="str">
        <f t="shared" si="172"/>
        <v>一般(Normal)</v>
      </c>
      <c r="AO440" t="s">
        <v>65</v>
      </c>
      <c r="AS440" t="str">
        <f>("c1999 [i.e. 1998] ")</f>
        <v xml:space="preserve">c1999 [i.e. 1998] </v>
      </c>
      <c r="AT440" t="str">
        <f t="shared" si="173"/>
        <v>catc</v>
      </c>
    </row>
    <row r="441" spans="1:46" x14ac:dyDescent="0.25">
      <c r="A441">
        <v>430</v>
      </c>
      <c r="B441" t="str">
        <f>("289330")</f>
        <v>289330</v>
      </c>
      <c r="C441" t="str">
        <f>("W00002466")</f>
        <v>W00002466</v>
      </c>
      <c r="D441" t="str">
        <f>("Business market management: understanding,creating,and delivering value/ ")</f>
        <v xml:space="preserve">Business market management: understanding,creating,and delivering value/ </v>
      </c>
      <c r="E441" t="str">
        <f>("Anderson,James C.")</f>
        <v>Anderson,James C.</v>
      </c>
      <c r="F441" t="str">
        <f>("Prentice Hall, ")</f>
        <v xml:space="preserve">Prentice Hall, </v>
      </c>
      <c r="H441" t="str">
        <f t="shared" si="176"/>
        <v>圖書 book</v>
      </c>
      <c r="I441" t="str">
        <f>("HF5415.1263 A545 1998")</f>
        <v>HF5415.1263 A545 1998</v>
      </c>
      <c r="J441" t="str">
        <f>("0135226570")</f>
        <v>0135226570</v>
      </c>
      <c r="K441" t="str">
        <f>("1020")</f>
        <v>1020</v>
      </c>
      <c r="L441" t="str">
        <f t="shared" si="170"/>
        <v>2001/10/10 00:00:00</v>
      </c>
      <c r="M441" t="str">
        <f t="shared" si="188"/>
        <v>2018/08/11 13:34:24</v>
      </c>
      <c r="N441" t="str">
        <f>("1998")</f>
        <v>1998</v>
      </c>
      <c r="O441" t="str">
        <f t="shared" si="184"/>
        <v>4F西文書庫 4F Western Language Books</v>
      </c>
      <c r="P441" t="s">
        <v>64</v>
      </c>
      <c r="W441" t="str">
        <f t="shared" si="190"/>
        <v>美國國會圖書分類法</v>
      </c>
      <c r="Y441" t="str">
        <f>("HF5415.1263")</f>
        <v>HF5415.1263</v>
      </c>
      <c r="Z441" t="str">
        <f t="shared" si="189"/>
        <v>2018/08/11 13:34:24</v>
      </c>
      <c r="AA441" t="str">
        <f t="shared" si="171"/>
        <v>catc</v>
      </c>
      <c r="AC441" t="str">
        <f>("A545")</f>
        <v>A545</v>
      </c>
      <c r="AE441" t="str">
        <f t="shared" si="187"/>
        <v>c.1</v>
      </c>
      <c r="AF441" t="str">
        <f t="shared" si="185"/>
        <v>1.可借圖書</v>
      </c>
      <c r="AG441" t="str">
        <f t="shared" si="186"/>
        <v>在架</v>
      </c>
      <c r="AI441" t="s">
        <v>65</v>
      </c>
      <c r="AK441" t="str">
        <f t="shared" si="172"/>
        <v>一般(Normal)</v>
      </c>
      <c r="AO441" t="s">
        <v>65</v>
      </c>
      <c r="AS441" t="str">
        <f>("1998")</f>
        <v>1998</v>
      </c>
      <c r="AT441" t="str">
        <f t="shared" si="173"/>
        <v>catc</v>
      </c>
    </row>
    <row r="442" spans="1:46" x14ac:dyDescent="0.25">
      <c r="A442">
        <v>431</v>
      </c>
      <c r="B442" t="str">
        <f>("289331")</f>
        <v>289331</v>
      </c>
      <c r="C442" t="str">
        <f>("W00002467")</f>
        <v>W00002467</v>
      </c>
      <c r="D442" t="str">
        <f>("Analysis for strategic marketing /")</f>
        <v>Analysis for strategic marketing /</v>
      </c>
      <c r="E442" t="str">
        <f>("Rao, Vithala R ")</f>
        <v xml:space="preserve">Rao, Vithala R </v>
      </c>
      <c r="F442" t="str">
        <f>("Addison-Wesley,")</f>
        <v>Addison-Wesley,</v>
      </c>
      <c r="H442" t="str">
        <f t="shared" si="176"/>
        <v>圖書 book</v>
      </c>
      <c r="I442" t="str">
        <f>("HF5415 R215 1998")</f>
        <v>HF5415 R215 1998</v>
      </c>
      <c r="J442" t="str">
        <f>("0321001982")</f>
        <v>0321001982</v>
      </c>
      <c r="K442" t="str">
        <f>("936")</f>
        <v>936</v>
      </c>
      <c r="L442" t="str">
        <f t="shared" si="170"/>
        <v>2001/10/10 00:00:00</v>
      </c>
      <c r="M442" t="str">
        <f t="shared" si="188"/>
        <v>2018/08/11 13:34:24</v>
      </c>
      <c r="N442" t="str">
        <f>("1998")</f>
        <v>1998</v>
      </c>
      <c r="O442" t="str">
        <f t="shared" si="184"/>
        <v>4F西文書庫 4F Western Language Books</v>
      </c>
      <c r="P442" t="s">
        <v>64</v>
      </c>
      <c r="W442" t="str">
        <f t="shared" si="190"/>
        <v>美國國會圖書分類法</v>
      </c>
      <c r="Y442" t="str">
        <f>("HF5415")</f>
        <v>HF5415</v>
      </c>
      <c r="Z442" t="str">
        <f t="shared" si="189"/>
        <v>2018/08/11 13:34:24</v>
      </c>
      <c r="AA442" t="str">
        <f t="shared" si="171"/>
        <v>catc</v>
      </c>
      <c r="AC442" t="str">
        <f>("R215")</f>
        <v>R215</v>
      </c>
      <c r="AE442" t="str">
        <f t="shared" si="187"/>
        <v>c.1</v>
      </c>
      <c r="AF442" t="str">
        <f t="shared" si="185"/>
        <v>1.可借圖書</v>
      </c>
      <c r="AG442" t="str">
        <f t="shared" si="186"/>
        <v>在架</v>
      </c>
      <c r="AI442" t="s">
        <v>65</v>
      </c>
      <c r="AK442" t="str">
        <f t="shared" si="172"/>
        <v>一般(Normal)</v>
      </c>
      <c r="AO442" t="s">
        <v>65</v>
      </c>
      <c r="AS442" t="str">
        <f>("c1998 ")</f>
        <v xml:space="preserve">c1998 </v>
      </c>
      <c r="AT442" t="str">
        <f t="shared" si="173"/>
        <v>catc</v>
      </c>
    </row>
    <row r="443" spans="1:46" x14ac:dyDescent="0.25">
      <c r="A443">
        <v>432</v>
      </c>
      <c r="B443" t="str">
        <f>("289332")</f>
        <v>289332</v>
      </c>
      <c r="C443" t="str">
        <f>("W00002468")</f>
        <v>W00002468</v>
      </c>
      <c r="D443" t="str">
        <f>("Marketing on the Internet :principles of online marketing /")</f>
        <v>Marketing on the Internet :principles of online marketing /</v>
      </c>
      <c r="E443" t="str">
        <f>("Strauss, Judy ")</f>
        <v xml:space="preserve">Strauss, Judy </v>
      </c>
      <c r="F443" t="str">
        <f>("Prentice Hall,")</f>
        <v>Prentice Hall,</v>
      </c>
      <c r="H443" t="str">
        <f t="shared" si="176"/>
        <v>圖書 book</v>
      </c>
      <c r="I443" t="str">
        <f>("HF5415.1265 S912 1999")</f>
        <v>HF5415.1265 S912 1999</v>
      </c>
      <c r="J443" t="str">
        <f>("0130105856")</f>
        <v>0130105856</v>
      </c>
      <c r="K443" t="str">
        <f>("840")</f>
        <v>840</v>
      </c>
      <c r="L443" t="str">
        <f t="shared" si="170"/>
        <v>2001/10/10 00:00:00</v>
      </c>
      <c r="M443" t="str">
        <f t="shared" si="188"/>
        <v>2018/08/11 13:34:24</v>
      </c>
      <c r="N443" t="str">
        <f>("1999")</f>
        <v>1999</v>
      </c>
      <c r="O443" t="str">
        <f t="shared" si="184"/>
        <v>4F西文書庫 4F Western Language Books</v>
      </c>
      <c r="P443" t="s">
        <v>64</v>
      </c>
      <c r="W443" t="str">
        <f t="shared" si="190"/>
        <v>美國國會圖書分類法</v>
      </c>
      <c r="Y443" t="str">
        <f>("HF5415.1265")</f>
        <v>HF5415.1265</v>
      </c>
      <c r="Z443" t="str">
        <f t="shared" si="189"/>
        <v>2018/08/11 13:34:24</v>
      </c>
      <c r="AA443" t="str">
        <f t="shared" si="171"/>
        <v>catc</v>
      </c>
      <c r="AC443" t="str">
        <f>("S912")</f>
        <v>S912</v>
      </c>
      <c r="AE443" t="str">
        <f t="shared" si="187"/>
        <v>c.1</v>
      </c>
      <c r="AF443" t="str">
        <f t="shared" si="185"/>
        <v>1.可借圖書</v>
      </c>
      <c r="AG443" t="str">
        <f t="shared" si="186"/>
        <v>在架</v>
      </c>
      <c r="AI443" t="s">
        <v>65</v>
      </c>
      <c r="AK443" t="str">
        <f t="shared" si="172"/>
        <v>一般(Normal)</v>
      </c>
      <c r="AO443" t="s">
        <v>65</v>
      </c>
      <c r="AS443" t="str">
        <f>("c1999 ")</f>
        <v xml:space="preserve">c1999 </v>
      </c>
      <c r="AT443" t="str">
        <f t="shared" si="173"/>
        <v>catc</v>
      </c>
    </row>
    <row r="444" spans="1:46" x14ac:dyDescent="0.25">
      <c r="A444">
        <v>433</v>
      </c>
      <c r="B444" t="str">
        <f>("289333")</f>
        <v>289333</v>
      </c>
      <c r="C444" t="str">
        <f>("W00002469")</f>
        <v>W00002469</v>
      </c>
      <c r="D444" t="str">
        <f>("Introductory statistics ")</f>
        <v xml:space="preserve">Introductory statistics </v>
      </c>
      <c r="E444" t="str">
        <f>("Weiss, N. A.")</f>
        <v>Weiss, N. A.</v>
      </c>
      <c r="F444" t="str">
        <f>("Addison Wesley,")</f>
        <v>Addison Wesley,</v>
      </c>
      <c r="G444" t="str">
        <f>("5th ed. / / Neil Weiss ; biographies by Carol Weiss ")</f>
        <v xml:space="preserve">5th ed. / / Neil Weiss ; biographies by Carol Weiss </v>
      </c>
      <c r="H444" t="str">
        <f t="shared" si="176"/>
        <v>圖書 book</v>
      </c>
      <c r="I444" t="str">
        <f>("QA276.12 W429 1999")</f>
        <v>QA276.12 W429 1999</v>
      </c>
      <c r="J444" t="str">
        <f>("0201598779")</f>
        <v>0201598779</v>
      </c>
      <c r="K444" t="str">
        <f>("1152")</f>
        <v>1152</v>
      </c>
      <c r="L444" t="str">
        <f t="shared" si="170"/>
        <v>2001/10/10 00:00:00</v>
      </c>
      <c r="M444" t="str">
        <f t="shared" si="188"/>
        <v>2018/08/11 13:34:24</v>
      </c>
      <c r="N444" t="str">
        <f>("1999")</f>
        <v>1999</v>
      </c>
      <c r="O444" t="str">
        <f t="shared" si="184"/>
        <v>4F西文書庫 4F Western Language Books</v>
      </c>
      <c r="P444" t="s">
        <v>64</v>
      </c>
      <c r="W444" t="str">
        <f t="shared" si="190"/>
        <v>美國國會圖書分類法</v>
      </c>
      <c r="Y444" t="str">
        <f>("QA276.12")</f>
        <v>QA276.12</v>
      </c>
      <c r="Z444" t="str">
        <f t="shared" si="189"/>
        <v>2018/08/11 13:34:24</v>
      </c>
      <c r="AA444" t="str">
        <f t="shared" si="171"/>
        <v>catc</v>
      </c>
      <c r="AC444" t="str">
        <f>("W429")</f>
        <v>W429</v>
      </c>
      <c r="AE444" t="str">
        <f t="shared" si="187"/>
        <v>c.1</v>
      </c>
      <c r="AF444" t="str">
        <f t="shared" si="185"/>
        <v>1.可借圖書</v>
      </c>
      <c r="AG444" t="str">
        <f t="shared" si="186"/>
        <v>在架</v>
      </c>
      <c r="AI444" t="s">
        <v>65</v>
      </c>
      <c r="AK444" t="str">
        <f t="shared" si="172"/>
        <v>一般(Normal)</v>
      </c>
      <c r="AO444" t="s">
        <v>65</v>
      </c>
      <c r="AS444" t="str">
        <f>("c1999 ")</f>
        <v xml:space="preserve">c1999 </v>
      </c>
      <c r="AT444" t="str">
        <f t="shared" si="173"/>
        <v>catc</v>
      </c>
    </row>
    <row r="445" spans="1:46" x14ac:dyDescent="0.25">
      <c r="A445">
        <v>434</v>
      </c>
      <c r="B445" t="str">
        <f>("289342")</f>
        <v>289342</v>
      </c>
      <c r="C445" t="str">
        <f>("W00002470")</f>
        <v>W00002470</v>
      </c>
      <c r="D445" t="str">
        <f>("International business :a managerial perspective /")</f>
        <v>International business :a managerial perspective /</v>
      </c>
      <c r="E445" t="str">
        <f>("Griffin, Ricky W. ")</f>
        <v xml:space="preserve">Griffin, Ricky W. </v>
      </c>
      <c r="F445" t="str">
        <f>("Addison-Wesley,")</f>
        <v>Addison-Wesley,</v>
      </c>
      <c r="G445" t="str">
        <f>("2nd ed. ")</f>
        <v xml:space="preserve">2nd ed. </v>
      </c>
      <c r="H445" t="str">
        <f t="shared" si="176"/>
        <v>圖書 book</v>
      </c>
      <c r="I445" t="str">
        <f>("HD62.4 G851 1998")</f>
        <v>HD62.4 G851 1998</v>
      </c>
      <c r="J445" t="str">
        <f>("0201857677")</f>
        <v>0201857677</v>
      </c>
      <c r="K445" t="str">
        <f>("1152")</f>
        <v>1152</v>
      </c>
      <c r="L445" t="str">
        <f t="shared" si="170"/>
        <v>2001/10/10 00:00:00</v>
      </c>
      <c r="M445" t="str">
        <f>("2018/08/11 13:34:25")</f>
        <v>2018/08/11 13:34:25</v>
      </c>
      <c r="N445" t="str">
        <f>("1998")</f>
        <v>1998</v>
      </c>
      <c r="O445" t="str">
        <f t="shared" si="184"/>
        <v>4F西文書庫 4F Western Language Books</v>
      </c>
      <c r="P445" t="s">
        <v>64</v>
      </c>
      <c r="W445" t="str">
        <f t="shared" si="190"/>
        <v>美國國會圖書分類法</v>
      </c>
      <c r="Y445" t="str">
        <f>("HD62.4")</f>
        <v>HD62.4</v>
      </c>
      <c r="Z445" t="str">
        <f>("2018/08/11 13:34:25")</f>
        <v>2018/08/11 13:34:25</v>
      </c>
      <c r="AA445" t="str">
        <f t="shared" si="171"/>
        <v>catc</v>
      </c>
      <c r="AC445" t="str">
        <f>("G851")</f>
        <v>G851</v>
      </c>
      <c r="AE445" t="str">
        <f t="shared" si="187"/>
        <v>c.1</v>
      </c>
      <c r="AF445" t="str">
        <f t="shared" si="185"/>
        <v>1.可借圖書</v>
      </c>
      <c r="AG445" t="str">
        <f t="shared" si="186"/>
        <v>在架</v>
      </c>
      <c r="AI445" t="s">
        <v>65</v>
      </c>
      <c r="AK445" t="str">
        <f t="shared" si="172"/>
        <v>一般(Normal)</v>
      </c>
      <c r="AO445" t="s">
        <v>65</v>
      </c>
      <c r="AS445" t="str">
        <f>("c1999. ")</f>
        <v xml:space="preserve">c1999. </v>
      </c>
      <c r="AT445" t="str">
        <f t="shared" si="173"/>
        <v>catc</v>
      </c>
    </row>
    <row r="446" spans="1:46" x14ac:dyDescent="0.25">
      <c r="A446">
        <v>435</v>
      </c>
      <c r="B446" t="str">
        <f>("289343")</f>
        <v>289343</v>
      </c>
      <c r="C446" t="str">
        <f>("W00002471")</f>
        <v>W00002471</v>
      </c>
      <c r="D446" t="str">
        <f>("Fundamentals of corporate finance /")</f>
        <v>Fundamentals of corporate finance /</v>
      </c>
      <c r="E446" t="str">
        <f>("Ross, Stephen A.")</f>
        <v>Ross, Stephen A.</v>
      </c>
      <c r="F446" t="str">
        <f>("Irwin/McGraw-Hill,")</f>
        <v>Irwin/McGraw-Hill,</v>
      </c>
      <c r="G446" t="str">
        <f>("5th ed.")</f>
        <v>5th ed.</v>
      </c>
      <c r="H446" t="str">
        <f t="shared" si="176"/>
        <v>圖書 book</v>
      </c>
      <c r="I446" t="str">
        <f>("HG4026 R823 2000")</f>
        <v>HG4026 R823 2000</v>
      </c>
      <c r="J446" t="str">
        <f>("0071168311;0073661287;0072312904")</f>
        <v>0071168311;0073661287;0072312904</v>
      </c>
      <c r="K446" t="str">
        <f>("1416")</f>
        <v>1416</v>
      </c>
      <c r="L446" t="str">
        <f t="shared" si="170"/>
        <v>2001/10/10 00:00:00</v>
      </c>
      <c r="M446" t="str">
        <f>("2018/08/11 13:34:25")</f>
        <v>2018/08/11 13:34:25</v>
      </c>
      <c r="N446" t="str">
        <f>("2000")</f>
        <v>2000</v>
      </c>
      <c r="O446" t="str">
        <f t="shared" si="184"/>
        <v>4F西文書庫 4F Western Language Books</v>
      </c>
      <c r="P446" t="s">
        <v>64</v>
      </c>
      <c r="W446" t="str">
        <f t="shared" si="190"/>
        <v>美國國會圖書分類法</v>
      </c>
      <c r="Y446" t="str">
        <f>("HG4026")</f>
        <v>HG4026</v>
      </c>
      <c r="Z446" t="str">
        <f>("2018/08/11 13:34:25")</f>
        <v>2018/08/11 13:34:25</v>
      </c>
      <c r="AA446" t="str">
        <f t="shared" si="171"/>
        <v>catc</v>
      </c>
      <c r="AC446" t="str">
        <f>("R823")</f>
        <v>R823</v>
      </c>
      <c r="AE446" t="str">
        <f t="shared" si="187"/>
        <v>c.1</v>
      </c>
      <c r="AF446" t="str">
        <f t="shared" si="185"/>
        <v>1.可借圖書</v>
      </c>
      <c r="AG446" t="str">
        <f t="shared" si="186"/>
        <v>在架</v>
      </c>
      <c r="AI446" t="s">
        <v>65</v>
      </c>
      <c r="AK446" t="str">
        <f t="shared" si="172"/>
        <v>一般(Normal)</v>
      </c>
      <c r="AO446" t="s">
        <v>65</v>
      </c>
      <c r="AS446" t="str">
        <f>("c2000.")</f>
        <v>c2000.</v>
      </c>
      <c r="AT446" t="str">
        <f t="shared" si="173"/>
        <v>catc</v>
      </c>
    </row>
    <row r="447" spans="1:46" x14ac:dyDescent="0.25">
      <c r="A447">
        <v>436</v>
      </c>
      <c r="B447" t="str">
        <f>("289344")</f>
        <v>289344</v>
      </c>
      <c r="C447" t="str">
        <f>("W00002472")</f>
        <v>W00002472</v>
      </c>
      <c r="D447" t="str">
        <f>("CPA examination review2000: accounting and reporting/ ")</f>
        <v xml:space="preserve">CPA examination review2000: accounting and reporting/ </v>
      </c>
      <c r="E447" t="str">
        <f>("Delaney,Patrick R.")</f>
        <v>Delaney,Patrick R.</v>
      </c>
      <c r="F447" t="str">
        <f>("WILEY, ")</f>
        <v xml:space="preserve">WILEY, </v>
      </c>
      <c r="H447" t="str">
        <f t="shared" si="176"/>
        <v>圖書 book</v>
      </c>
      <c r="I447" t="str">
        <f>("Z7164.C81 D337 2000")</f>
        <v>Z7164.C81 D337 2000</v>
      </c>
      <c r="J447" t="str">
        <f>("0471351121")</f>
        <v>0471351121</v>
      </c>
      <c r="K447" t="str">
        <f>("1320")</f>
        <v>1320</v>
      </c>
      <c r="L447" t="str">
        <f t="shared" si="170"/>
        <v>2001/10/10 00:00:00</v>
      </c>
      <c r="M447" t="str">
        <f>("2018/08/11 13:34:25")</f>
        <v>2018/08/11 13:34:25</v>
      </c>
      <c r="N447" t="str">
        <f>("2000")</f>
        <v>2000</v>
      </c>
      <c r="O447" t="str">
        <f t="shared" si="184"/>
        <v>4F西文書庫 4F Western Language Books</v>
      </c>
      <c r="P447" t="s">
        <v>64</v>
      </c>
      <c r="W447" t="str">
        <f t="shared" si="190"/>
        <v>美國國會圖書分類法</v>
      </c>
      <c r="Y447" t="str">
        <f>("Z7164.C81")</f>
        <v>Z7164.C81</v>
      </c>
      <c r="Z447" t="str">
        <f>("2018/08/11 13:34:25")</f>
        <v>2018/08/11 13:34:25</v>
      </c>
      <c r="AA447" t="str">
        <f t="shared" si="171"/>
        <v>catc</v>
      </c>
      <c r="AC447" t="str">
        <f>("D337")</f>
        <v>D337</v>
      </c>
      <c r="AE447" t="str">
        <f t="shared" si="187"/>
        <v>c.1</v>
      </c>
      <c r="AF447" t="str">
        <f t="shared" si="185"/>
        <v>1.可借圖書</v>
      </c>
      <c r="AG447" t="str">
        <f t="shared" si="186"/>
        <v>在架</v>
      </c>
      <c r="AI447" t="s">
        <v>65</v>
      </c>
      <c r="AK447" t="str">
        <f t="shared" si="172"/>
        <v>一般(Normal)</v>
      </c>
      <c r="AO447" t="s">
        <v>65</v>
      </c>
      <c r="AS447" t="str">
        <f>("2000.")</f>
        <v>2000.</v>
      </c>
      <c r="AT447" t="str">
        <f t="shared" si="173"/>
        <v>catc</v>
      </c>
    </row>
    <row r="448" spans="1:46" x14ac:dyDescent="0.25">
      <c r="A448">
        <v>437</v>
      </c>
      <c r="B448" t="str">
        <f>("289345")</f>
        <v>289345</v>
      </c>
      <c r="C448" t="str">
        <f>("W00002473")</f>
        <v>W00002473</v>
      </c>
      <c r="D448" t="str">
        <f>("Management accounting :a strategic approach /")</f>
        <v>Management accounting :a strategic approach /</v>
      </c>
      <c r="E448" t="str">
        <f>("Morse, Wayne J.")</f>
        <v>Morse, Wayne J.</v>
      </c>
      <c r="F448" t="str">
        <f>("South-Western College,")</f>
        <v>South-Western College,</v>
      </c>
      <c r="G448" t="str">
        <f>("2nd ed.")</f>
        <v>2nd ed.</v>
      </c>
      <c r="H448" t="str">
        <f t="shared" si="176"/>
        <v>圖書 book</v>
      </c>
      <c r="I448" t="str">
        <f>("HF5635 M885 2000")</f>
        <v>HF5635 M885 2000</v>
      </c>
      <c r="J448" t="str">
        <f>("0538878894")</f>
        <v>0538878894</v>
      </c>
      <c r="K448" t="str">
        <f>("1296")</f>
        <v>1296</v>
      </c>
      <c r="L448" t="str">
        <f t="shared" si="170"/>
        <v>2001/10/10 00:00:00</v>
      </c>
      <c r="M448" t="str">
        <f>("2018/08/11 13:34:25")</f>
        <v>2018/08/11 13:34:25</v>
      </c>
      <c r="N448" t="str">
        <f>("2000")</f>
        <v>2000</v>
      </c>
      <c r="O448" t="str">
        <f t="shared" si="184"/>
        <v>4F西文書庫 4F Western Language Books</v>
      </c>
      <c r="P448" t="s">
        <v>64</v>
      </c>
      <c r="W448" t="str">
        <f t="shared" si="190"/>
        <v>美國國會圖書分類法</v>
      </c>
      <c r="Y448" t="str">
        <f>("HF5635")</f>
        <v>HF5635</v>
      </c>
      <c r="Z448" t="str">
        <f>("2018/08/11 13:34:25")</f>
        <v>2018/08/11 13:34:25</v>
      </c>
      <c r="AA448" t="str">
        <f t="shared" si="171"/>
        <v>catc</v>
      </c>
      <c r="AC448" t="str">
        <f>("M885")</f>
        <v>M885</v>
      </c>
      <c r="AE448" t="str">
        <f t="shared" si="187"/>
        <v>c.1</v>
      </c>
      <c r="AF448" t="str">
        <f t="shared" si="185"/>
        <v>1.可借圖書</v>
      </c>
      <c r="AG448" t="str">
        <f t="shared" si="186"/>
        <v>在架</v>
      </c>
      <c r="AI448" t="s">
        <v>65</v>
      </c>
      <c r="AK448" t="str">
        <f t="shared" si="172"/>
        <v>一般(Normal)</v>
      </c>
      <c r="AO448" t="s">
        <v>65</v>
      </c>
      <c r="AS448" t="str">
        <f>("c2000.")</f>
        <v>c2000.</v>
      </c>
      <c r="AT448" t="str">
        <f t="shared" si="173"/>
        <v>catc</v>
      </c>
    </row>
    <row r="449" spans="1:46" x14ac:dyDescent="0.25">
      <c r="A449">
        <v>438</v>
      </c>
      <c r="B449" t="str">
        <f>("288663")</f>
        <v>288663</v>
      </c>
      <c r="C449" t="str">
        <f>("W00002474")</f>
        <v>W00002474</v>
      </c>
      <c r="D449" t="str">
        <f>("An introduction to foreign exchange &amp; money markets.")</f>
        <v>An introduction to foreign exchange &amp; money markets.</v>
      </c>
      <c r="E449" t="str">
        <f>("Reuters ltd.")</f>
        <v>Reuters ltd.</v>
      </c>
      <c r="F449" t="str">
        <f>("John Wiley &amp; Sons (Asia),")</f>
        <v>John Wiley &amp; Sons (Asia),</v>
      </c>
      <c r="H449" t="str">
        <f t="shared" si="176"/>
        <v>圖書 book</v>
      </c>
      <c r="I449" t="str">
        <f>("HG3821 I54 1999")</f>
        <v>HG3821 I54 1999</v>
      </c>
      <c r="J449" t="str">
        <f>("047183128X;047183128X")</f>
        <v>047183128X;047183128X</v>
      </c>
      <c r="K449" t="str">
        <f>("1440")</f>
        <v>1440</v>
      </c>
      <c r="L449" t="str">
        <f t="shared" si="170"/>
        <v>2001/10/10 00:00:00</v>
      </c>
      <c r="M449" t="str">
        <f>("2018/08/11 13:33:21")</f>
        <v>2018/08/11 13:33:21</v>
      </c>
      <c r="N449" t="str">
        <f>("1999")</f>
        <v>1999</v>
      </c>
      <c r="O449" t="str">
        <f t="shared" si="184"/>
        <v>4F西文書庫 4F Western Language Books</v>
      </c>
      <c r="P449" t="s">
        <v>64</v>
      </c>
      <c r="S449" t="str">
        <f>("352 p. :")</f>
        <v>352 p. :</v>
      </c>
      <c r="T449" t="str">
        <f>("ill. ;")</f>
        <v>ill. ;</v>
      </c>
      <c r="U449" t="str">
        <f>("25 x 27 cm.")</f>
        <v>25 x 27 cm.</v>
      </c>
      <c r="W449" t="str">
        <f t="shared" si="190"/>
        <v>美國國會圖書分類法</v>
      </c>
      <c r="Y449" t="str">
        <f>("HG3821")</f>
        <v>HG3821</v>
      </c>
      <c r="Z449" t="str">
        <f>("2018/08/11 13:33:21")</f>
        <v>2018/08/11 13:33:21</v>
      </c>
      <c r="AA449" t="str">
        <f t="shared" si="171"/>
        <v>catc</v>
      </c>
      <c r="AC449" t="str">
        <f>("I54")</f>
        <v>I54</v>
      </c>
      <c r="AE449" t="str">
        <f t="shared" si="187"/>
        <v>c.1</v>
      </c>
      <c r="AF449" t="str">
        <f t="shared" si="185"/>
        <v>1.可借圖書</v>
      </c>
      <c r="AG449" t="str">
        <f t="shared" si="186"/>
        <v>在架</v>
      </c>
      <c r="AI449" t="s">
        <v>65</v>
      </c>
      <c r="AK449" t="str">
        <f t="shared" si="172"/>
        <v>一般(Normal)</v>
      </c>
      <c r="AO449" t="s">
        <v>65</v>
      </c>
      <c r="AS449" t="str">
        <f>("1999.")</f>
        <v>1999.</v>
      </c>
      <c r="AT449" t="str">
        <f t="shared" si="173"/>
        <v>catc</v>
      </c>
    </row>
    <row r="450" spans="1:46" x14ac:dyDescent="0.25">
      <c r="A450">
        <v>439</v>
      </c>
      <c r="B450" t="str">
        <f>("289346")</f>
        <v>289346</v>
      </c>
      <c r="C450" t="str">
        <f>("W00002475")</f>
        <v>W00002475</v>
      </c>
      <c r="D450" t="str">
        <f>("Program assessment/ ")</f>
        <v xml:space="preserve">Program assessment/ </v>
      </c>
      <c r="E450" t="str">
        <f>("Cline,Timothy R.")</f>
        <v>Cline,Timothy R.</v>
      </c>
      <c r="F450" t="str">
        <f>("WESLEY, ")</f>
        <v xml:space="preserve">WESLEY, </v>
      </c>
      <c r="H450" t="str">
        <f t="shared" si="176"/>
        <v>圖書 book</v>
      </c>
      <c r="I450" t="str">
        <f>("HD31 C641 1998")</f>
        <v>HD31 C641 1998</v>
      </c>
      <c r="J450" t="str">
        <f>("0201322595")</f>
        <v>0201322595</v>
      </c>
      <c r="K450" t="str">
        <f>("576")</f>
        <v>576</v>
      </c>
      <c r="L450" t="str">
        <f t="shared" si="170"/>
        <v>2001/10/10 00:00:00</v>
      </c>
      <c r="M450" t="str">
        <f t="shared" ref="M450:M457" si="191">("2018/08/11 13:34:25")</f>
        <v>2018/08/11 13:34:25</v>
      </c>
      <c r="N450" t="str">
        <f>("1998")</f>
        <v>1998</v>
      </c>
      <c r="O450" t="str">
        <f t="shared" si="184"/>
        <v>4F西文書庫 4F Western Language Books</v>
      </c>
      <c r="P450" t="s">
        <v>64</v>
      </c>
      <c r="W450" t="str">
        <f t="shared" si="190"/>
        <v>美國國會圖書分類法</v>
      </c>
      <c r="Y450" t="str">
        <f>("HD31")</f>
        <v>HD31</v>
      </c>
      <c r="Z450" t="str">
        <f t="shared" ref="Z450:Z457" si="192">("2018/08/11 13:34:25")</f>
        <v>2018/08/11 13:34:25</v>
      </c>
      <c r="AA450" t="str">
        <f t="shared" si="171"/>
        <v>catc</v>
      </c>
      <c r="AC450" t="str">
        <f>("C641")</f>
        <v>C641</v>
      </c>
      <c r="AE450" t="str">
        <f t="shared" si="187"/>
        <v>c.1</v>
      </c>
      <c r="AF450" t="str">
        <f t="shared" si="185"/>
        <v>1.可借圖書</v>
      </c>
      <c r="AG450" t="str">
        <f t="shared" si="186"/>
        <v>在架</v>
      </c>
      <c r="AI450" t="s">
        <v>65</v>
      </c>
      <c r="AK450" t="str">
        <f t="shared" si="172"/>
        <v>一般(Normal)</v>
      </c>
      <c r="AO450" t="s">
        <v>65</v>
      </c>
      <c r="AS450" t="str">
        <f>("1998")</f>
        <v>1998</v>
      </c>
      <c r="AT450" t="str">
        <f t="shared" si="173"/>
        <v>catc</v>
      </c>
    </row>
    <row r="451" spans="1:46" x14ac:dyDescent="0.25">
      <c r="A451">
        <v>440</v>
      </c>
      <c r="B451" t="str">
        <f>("289347")</f>
        <v>289347</v>
      </c>
      <c r="C451" t="str">
        <f>("W00002476")</f>
        <v>W00002476</v>
      </c>
      <c r="D451" t="str">
        <f>("The economics of public issues/ ")</f>
        <v xml:space="preserve">The economics of public issues/ </v>
      </c>
      <c r="E451" t="str">
        <f>("Miller,Roger Leroy")</f>
        <v>Miller,Roger Leroy</v>
      </c>
      <c r="F451" t="str">
        <f>("WESLEY, ")</f>
        <v xml:space="preserve">WESLEY, </v>
      </c>
      <c r="G451" t="str">
        <f>("11th. ed.")</f>
        <v>11th. ed.</v>
      </c>
      <c r="H451" t="str">
        <f t="shared" si="176"/>
        <v>圖書 book</v>
      </c>
      <c r="I451" t="str">
        <f>("HB171 M647 1998")</f>
        <v>HB171 M647 1998</v>
      </c>
      <c r="J451" t="str">
        <f>("0321030680")</f>
        <v>0321030680</v>
      </c>
      <c r="K451" t="str">
        <f>("696")</f>
        <v>696</v>
      </c>
      <c r="L451" t="str">
        <f t="shared" si="170"/>
        <v>2001/10/10 00:00:00</v>
      </c>
      <c r="M451" t="str">
        <f t="shared" si="191"/>
        <v>2018/08/11 13:34:25</v>
      </c>
      <c r="N451" t="str">
        <f>("1998")</f>
        <v>1998</v>
      </c>
      <c r="O451" t="str">
        <f t="shared" si="184"/>
        <v>4F西文書庫 4F Western Language Books</v>
      </c>
      <c r="P451" t="s">
        <v>64</v>
      </c>
      <c r="W451" t="str">
        <f t="shared" si="190"/>
        <v>美國國會圖書分類法</v>
      </c>
      <c r="Y451" t="str">
        <f>("HB171")</f>
        <v>HB171</v>
      </c>
      <c r="Z451" t="str">
        <f t="shared" si="192"/>
        <v>2018/08/11 13:34:25</v>
      </c>
      <c r="AA451" t="str">
        <f t="shared" si="171"/>
        <v>catc</v>
      </c>
      <c r="AC451" t="str">
        <f>("M647")</f>
        <v>M647</v>
      </c>
      <c r="AE451" t="str">
        <f t="shared" si="187"/>
        <v>c.1</v>
      </c>
      <c r="AF451" t="str">
        <f t="shared" si="185"/>
        <v>1.可借圖書</v>
      </c>
      <c r="AG451" t="str">
        <f t="shared" si="186"/>
        <v>在架</v>
      </c>
      <c r="AI451" t="s">
        <v>65</v>
      </c>
      <c r="AK451" t="str">
        <f t="shared" si="172"/>
        <v>一般(Normal)</v>
      </c>
      <c r="AO451" t="s">
        <v>65</v>
      </c>
      <c r="AS451" t="str">
        <f>("1998")</f>
        <v>1998</v>
      </c>
      <c r="AT451" t="str">
        <f t="shared" si="173"/>
        <v>catc</v>
      </c>
    </row>
    <row r="452" spans="1:46" x14ac:dyDescent="0.25">
      <c r="A452">
        <v>441</v>
      </c>
      <c r="B452" t="str">
        <f>("289334")</f>
        <v>289334</v>
      </c>
      <c r="C452" t="str">
        <f>("W00002477")</f>
        <v>W00002477</v>
      </c>
      <c r="D452" t="str">
        <f>("101 word games for students of English as a second or foreign language /")</f>
        <v>101 word games for students of English as a second or foreign language /</v>
      </c>
      <c r="E452" t="str">
        <f>("McCallum, George P.")</f>
        <v>McCallum, George P.</v>
      </c>
      <c r="F452" t="str">
        <f>("Oxford University Press,")</f>
        <v>Oxford University Press,</v>
      </c>
      <c r="H452" t="str">
        <f t="shared" si="176"/>
        <v>圖書 book</v>
      </c>
      <c r="I452" t="str">
        <f>("PE1128.A2 M111 1998")</f>
        <v>PE1128.A2 M111 1998</v>
      </c>
      <c r="J452" t="str">
        <f>("0195027426")</f>
        <v>0195027426</v>
      </c>
      <c r="K452" t="str">
        <f>("688")</f>
        <v>688</v>
      </c>
      <c r="L452" t="str">
        <f t="shared" si="170"/>
        <v>2001/10/10 00:00:00</v>
      </c>
      <c r="M452" t="str">
        <f t="shared" si="191"/>
        <v>2018/08/11 13:34:25</v>
      </c>
      <c r="N452" t="str">
        <f>("1998")</f>
        <v>1998</v>
      </c>
      <c r="O452" t="str">
        <f t="shared" si="184"/>
        <v>4F西文書庫 4F Western Language Books</v>
      </c>
      <c r="P452" t="s">
        <v>64</v>
      </c>
      <c r="W452" t="str">
        <f t="shared" si="190"/>
        <v>美國國會圖書分類法</v>
      </c>
      <c r="Y452" t="str">
        <f>("PE1128.A2")</f>
        <v>PE1128.A2</v>
      </c>
      <c r="Z452" t="str">
        <f t="shared" si="192"/>
        <v>2018/08/11 13:34:25</v>
      </c>
      <c r="AA452" t="str">
        <f t="shared" si="171"/>
        <v>catc</v>
      </c>
      <c r="AC452" t="str">
        <f>("M111")</f>
        <v>M111</v>
      </c>
      <c r="AE452" t="str">
        <f t="shared" si="187"/>
        <v>c.1</v>
      </c>
      <c r="AF452" t="str">
        <f t="shared" si="185"/>
        <v>1.可借圖書</v>
      </c>
      <c r="AG452" t="str">
        <f t="shared" si="186"/>
        <v>在架</v>
      </c>
      <c r="AI452" t="s">
        <v>65</v>
      </c>
      <c r="AK452" t="str">
        <f t="shared" si="172"/>
        <v>一般(Normal)</v>
      </c>
      <c r="AO452" t="s">
        <v>65</v>
      </c>
      <c r="AS452" t="str">
        <f>("1980.")</f>
        <v>1980.</v>
      </c>
      <c r="AT452" t="str">
        <f t="shared" si="173"/>
        <v>catc</v>
      </c>
    </row>
    <row r="453" spans="1:46" x14ac:dyDescent="0.25">
      <c r="A453">
        <v>442</v>
      </c>
      <c r="B453" t="str">
        <f>("289335")</f>
        <v>289335</v>
      </c>
      <c r="C453" t="str">
        <f>("W00002478")</f>
        <v>W00002478</v>
      </c>
      <c r="D453" t="str">
        <f>("CPA Focus notes:")</f>
        <v>CPA Focus notes:</v>
      </c>
      <c r="E453" t="str">
        <f>("")</f>
        <v/>
      </c>
      <c r="F453" t="str">
        <f>("WILEY, ")</f>
        <v xml:space="preserve">WILEY, </v>
      </c>
      <c r="H453" t="str">
        <f t="shared" si="176"/>
        <v>圖書 book</v>
      </c>
      <c r="I453" t="str">
        <f>("Z7164.C81 C111-4 1997")</f>
        <v>Z7164.C81 C111-4 1997</v>
      </c>
      <c r="J453" t="str">
        <f>("047119848X")</f>
        <v>047119848X</v>
      </c>
      <c r="K453" t="str">
        <f>("960")</f>
        <v>960</v>
      </c>
      <c r="L453" t="str">
        <f t="shared" si="170"/>
        <v>2001/10/10 00:00:00</v>
      </c>
      <c r="M453" t="str">
        <f t="shared" si="191"/>
        <v>2018/08/11 13:34:25</v>
      </c>
      <c r="N453" t="str">
        <f>("1997")</f>
        <v>1997</v>
      </c>
      <c r="O453" t="str">
        <f t="shared" si="184"/>
        <v>4F西文書庫 4F Western Language Books</v>
      </c>
      <c r="P453" t="s">
        <v>64</v>
      </c>
      <c r="W453" t="str">
        <f t="shared" si="190"/>
        <v>美國國會圖書分類法</v>
      </c>
      <c r="Y453" t="str">
        <f>("Z7164.C81")</f>
        <v>Z7164.C81</v>
      </c>
      <c r="Z453" t="str">
        <f t="shared" si="192"/>
        <v>2018/08/11 13:34:25</v>
      </c>
      <c r="AA453" t="str">
        <f t="shared" si="171"/>
        <v>catc</v>
      </c>
      <c r="AC453" t="str">
        <f>("C111-4")</f>
        <v>C111-4</v>
      </c>
      <c r="AE453" t="str">
        <f t="shared" si="187"/>
        <v>c.1</v>
      </c>
      <c r="AF453" t="str">
        <f t="shared" si="185"/>
        <v>1.可借圖書</v>
      </c>
      <c r="AG453" t="str">
        <f t="shared" si="186"/>
        <v>在架</v>
      </c>
      <c r="AI453" t="s">
        <v>65</v>
      </c>
      <c r="AK453" t="str">
        <f t="shared" si="172"/>
        <v>一般(Normal)</v>
      </c>
      <c r="AO453" t="s">
        <v>65</v>
      </c>
      <c r="AS453" t="str">
        <f>("c1997")</f>
        <v>c1997</v>
      </c>
      <c r="AT453" t="str">
        <f t="shared" si="173"/>
        <v>catc</v>
      </c>
    </row>
    <row r="454" spans="1:46" x14ac:dyDescent="0.25">
      <c r="A454">
        <v>443</v>
      </c>
      <c r="B454" t="str">
        <f>("289336")</f>
        <v>289336</v>
      </c>
      <c r="C454" t="str">
        <f>("W00002479")</f>
        <v>W00002479</v>
      </c>
      <c r="D454" t="str">
        <f>("CPA Focus notes:accounting and reporting")</f>
        <v>CPA Focus notes:accounting and reporting</v>
      </c>
      <c r="E454" t="str">
        <f>("")</f>
        <v/>
      </c>
      <c r="F454" t="str">
        <f>("WILEY, ")</f>
        <v xml:space="preserve">WILEY, </v>
      </c>
      <c r="H454" t="str">
        <f t="shared" si="176"/>
        <v>圖書 book</v>
      </c>
      <c r="I454" t="str">
        <f>("Z7164.C81 C111-2 1997")</f>
        <v>Z7164.C81 C111-2 1997</v>
      </c>
      <c r="J454" t="str">
        <f>("0471198455")</f>
        <v>0471198455</v>
      </c>
      <c r="K454" t="str">
        <f>("960")</f>
        <v>960</v>
      </c>
      <c r="L454" t="str">
        <f t="shared" si="170"/>
        <v>2001/10/10 00:00:00</v>
      </c>
      <c r="M454" t="str">
        <f t="shared" si="191"/>
        <v>2018/08/11 13:34:25</v>
      </c>
      <c r="N454" t="str">
        <f>("1997")</f>
        <v>1997</v>
      </c>
      <c r="O454" t="str">
        <f t="shared" si="184"/>
        <v>4F西文書庫 4F Western Language Books</v>
      </c>
      <c r="P454" t="s">
        <v>64</v>
      </c>
      <c r="W454" t="str">
        <f t="shared" si="190"/>
        <v>美國國會圖書分類法</v>
      </c>
      <c r="Y454" t="str">
        <f>("Z7164.C81")</f>
        <v>Z7164.C81</v>
      </c>
      <c r="Z454" t="str">
        <f t="shared" si="192"/>
        <v>2018/08/11 13:34:25</v>
      </c>
      <c r="AA454" t="str">
        <f t="shared" si="171"/>
        <v>catc</v>
      </c>
      <c r="AC454" t="str">
        <f>("C111-2")</f>
        <v>C111-2</v>
      </c>
      <c r="AE454" t="str">
        <f t="shared" si="187"/>
        <v>c.1</v>
      </c>
      <c r="AF454" t="str">
        <f t="shared" si="185"/>
        <v>1.可借圖書</v>
      </c>
      <c r="AG454" t="str">
        <f t="shared" si="186"/>
        <v>在架</v>
      </c>
      <c r="AI454" t="s">
        <v>65</v>
      </c>
      <c r="AK454" t="str">
        <f t="shared" si="172"/>
        <v>一般(Normal)</v>
      </c>
      <c r="AO454" t="s">
        <v>65</v>
      </c>
      <c r="AS454" t="str">
        <f>("c1997")</f>
        <v>c1997</v>
      </c>
      <c r="AT454" t="str">
        <f t="shared" si="173"/>
        <v>catc</v>
      </c>
    </row>
    <row r="455" spans="1:46" x14ac:dyDescent="0.25">
      <c r="A455">
        <v>444</v>
      </c>
      <c r="B455" t="str">
        <f>("289337")</f>
        <v>289337</v>
      </c>
      <c r="C455" t="str">
        <f>("W00002480")</f>
        <v>W00002480</v>
      </c>
      <c r="D455" t="str">
        <f>("CPA Focus notes:accounting and reporting")</f>
        <v>CPA Focus notes:accounting and reporting</v>
      </c>
      <c r="E455" t="str">
        <f>("")</f>
        <v/>
      </c>
      <c r="F455" t="str">
        <f>("WILEY, ")</f>
        <v xml:space="preserve">WILEY, </v>
      </c>
      <c r="H455" t="str">
        <f t="shared" si="176"/>
        <v>圖書 book</v>
      </c>
      <c r="I455" t="str">
        <f>("Z7164.C81 C111-3 1997")</f>
        <v>Z7164.C81 C111-3 1997</v>
      </c>
      <c r="J455" t="str">
        <f>("0471198463")</f>
        <v>0471198463</v>
      </c>
      <c r="K455" t="str">
        <f>("960")</f>
        <v>960</v>
      </c>
      <c r="L455" t="str">
        <f t="shared" si="170"/>
        <v>2001/10/10 00:00:00</v>
      </c>
      <c r="M455" t="str">
        <f t="shared" si="191"/>
        <v>2018/08/11 13:34:25</v>
      </c>
      <c r="N455" t="str">
        <f>("1997")</f>
        <v>1997</v>
      </c>
      <c r="O455" t="str">
        <f t="shared" si="184"/>
        <v>4F西文書庫 4F Western Language Books</v>
      </c>
      <c r="P455" t="s">
        <v>64</v>
      </c>
      <c r="W455" t="str">
        <f t="shared" si="190"/>
        <v>美國國會圖書分類法</v>
      </c>
      <c r="Y455" t="str">
        <f>("Z7164.C81")</f>
        <v>Z7164.C81</v>
      </c>
      <c r="Z455" t="str">
        <f t="shared" si="192"/>
        <v>2018/08/11 13:34:25</v>
      </c>
      <c r="AA455" t="str">
        <f t="shared" si="171"/>
        <v>catc</v>
      </c>
      <c r="AC455" t="str">
        <f>("C111-3")</f>
        <v>C111-3</v>
      </c>
      <c r="AE455" t="str">
        <f t="shared" si="187"/>
        <v>c.1</v>
      </c>
      <c r="AF455" t="str">
        <f t="shared" si="185"/>
        <v>1.可借圖書</v>
      </c>
      <c r="AG455" t="str">
        <f t="shared" si="186"/>
        <v>在架</v>
      </c>
      <c r="AI455" t="s">
        <v>65</v>
      </c>
      <c r="AK455" t="str">
        <f t="shared" si="172"/>
        <v>一般(Normal)</v>
      </c>
      <c r="AO455" t="s">
        <v>65</v>
      </c>
      <c r="AS455" t="str">
        <f>("c1997")</f>
        <v>c1997</v>
      </c>
      <c r="AT455" t="str">
        <f t="shared" si="173"/>
        <v>catc</v>
      </c>
    </row>
    <row r="456" spans="1:46" x14ac:dyDescent="0.25">
      <c r="A456">
        <v>445</v>
      </c>
      <c r="B456" t="str">
        <f>("289338")</f>
        <v>289338</v>
      </c>
      <c r="C456" t="str">
        <f>("W00002481")</f>
        <v>W00002481</v>
      </c>
      <c r="D456" t="str">
        <f>("CPA Focus notes:accounting and reporting")</f>
        <v>CPA Focus notes:accounting and reporting</v>
      </c>
      <c r="E456" t="str">
        <f>("")</f>
        <v/>
      </c>
      <c r="F456" t="str">
        <f>("WILEY,")</f>
        <v>WILEY,</v>
      </c>
      <c r="H456" t="str">
        <f t="shared" si="176"/>
        <v>圖書 book</v>
      </c>
      <c r="I456" t="str">
        <f>("Z7164.C81 C111 1997")</f>
        <v>Z7164.C81 C111 1997</v>
      </c>
      <c r="J456" t="str">
        <f>("0471198471")</f>
        <v>0471198471</v>
      </c>
      <c r="K456" t="str">
        <f>("960")</f>
        <v>960</v>
      </c>
      <c r="L456" t="str">
        <f t="shared" si="170"/>
        <v>2001/10/10 00:00:00</v>
      </c>
      <c r="M456" t="str">
        <f t="shared" si="191"/>
        <v>2018/08/11 13:34:25</v>
      </c>
      <c r="N456" t="str">
        <f>("1997")</f>
        <v>1997</v>
      </c>
      <c r="O456" t="str">
        <f t="shared" si="184"/>
        <v>4F西文書庫 4F Western Language Books</v>
      </c>
      <c r="P456" t="s">
        <v>64</v>
      </c>
      <c r="W456" t="str">
        <f t="shared" si="190"/>
        <v>美國國會圖書分類法</v>
      </c>
      <c r="Y456" t="str">
        <f>("Z7164.C81")</f>
        <v>Z7164.C81</v>
      </c>
      <c r="Z456" t="str">
        <f t="shared" si="192"/>
        <v>2018/08/11 13:34:25</v>
      </c>
      <c r="AA456" t="str">
        <f t="shared" si="171"/>
        <v>catc</v>
      </c>
      <c r="AC456" t="str">
        <f>("C111")</f>
        <v>C111</v>
      </c>
      <c r="AE456" t="str">
        <f t="shared" si="187"/>
        <v>c.1</v>
      </c>
      <c r="AF456" t="str">
        <f t="shared" si="185"/>
        <v>1.可借圖書</v>
      </c>
      <c r="AG456" t="str">
        <f t="shared" si="186"/>
        <v>在架</v>
      </c>
      <c r="AI456" t="s">
        <v>65</v>
      </c>
      <c r="AK456" t="str">
        <f t="shared" si="172"/>
        <v>一般(Normal)</v>
      </c>
      <c r="AO456" t="s">
        <v>65</v>
      </c>
      <c r="AS456" t="str">
        <f>("c1997")</f>
        <v>c1997</v>
      </c>
      <c r="AT456" t="str">
        <f t="shared" si="173"/>
        <v>catc</v>
      </c>
    </row>
    <row r="457" spans="1:46" x14ac:dyDescent="0.25">
      <c r="A457">
        <v>446</v>
      </c>
      <c r="B457" t="str">
        <f>("289339")</f>
        <v>289339</v>
      </c>
      <c r="C457" t="str">
        <f>("W00002482")</f>
        <v>W00002482</v>
      </c>
      <c r="D457" t="str">
        <f>("Economics today/ ")</f>
        <v xml:space="preserve">Economics today/ </v>
      </c>
      <c r="E457" t="str">
        <f>("Miller,Roger Leroy")</f>
        <v>Miller,Roger Leroy</v>
      </c>
      <c r="F457" t="str">
        <f>("WESLEY, ")</f>
        <v xml:space="preserve">WESLEY, </v>
      </c>
      <c r="G457" t="str">
        <f>("10th. ed.")</f>
        <v>10th. ed.</v>
      </c>
      <c r="H457" t="str">
        <f t="shared" si="176"/>
        <v>圖書 book</v>
      </c>
      <c r="I457" t="str">
        <f>("HB171.5 M647 1998")</f>
        <v>HB171.5 M647 1998</v>
      </c>
      <c r="J457" t="str">
        <f>("0201316897")</f>
        <v>0201316897</v>
      </c>
      <c r="K457" t="str">
        <f>("1176")</f>
        <v>1176</v>
      </c>
      <c r="L457" t="str">
        <f t="shared" si="170"/>
        <v>2001/10/10 00:00:00</v>
      </c>
      <c r="M457" t="str">
        <f t="shared" si="191"/>
        <v>2018/08/11 13:34:25</v>
      </c>
      <c r="N457" t="str">
        <f>("1998")</f>
        <v>1998</v>
      </c>
      <c r="O457" t="str">
        <f t="shared" si="184"/>
        <v>4F西文書庫 4F Western Language Books</v>
      </c>
      <c r="P457" t="s">
        <v>64</v>
      </c>
      <c r="Q457" t="str">
        <f>("光碟片1片")</f>
        <v>光碟片1片</v>
      </c>
      <c r="W457" t="str">
        <f t="shared" si="190"/>
        <v>美國國會圖書分類法</v>
      </c>
      <c r="Y457" t="str">
        <f>("HB171.5")</f>
        <v>HB171.5</v>
      </c>
      <c r="Z457" t="str">
        <f t="shared" si="192"/>
        <v>2018/08/11 13:34:25</v>
      </c>
      <c r="AA457" t="str">
        <f t="shared" si="171"/>
        <v>catc</v>
      </c>
      <c r="AC457" t="str">
        <f>("M647")</f>
        <v>M647</v>
      </c>
      <c r="AE457" t="str">
        <f t="shared" si="187"/>
        <v>c.1</v>
      </c>
      <c r="AF457" t="str">
        <f t="shared" si="185"/>
        <v>1.可借圖書</v>
      </c>
      <c r="AG457" t="str">
        <f t="shared" si="186"/>
        <v>在架</v>
      </c>
      <c r="AI457" t="s">
        <v>65</v>
      </c>
      <c r="AK457" t="str">
        <f t="shared" si="172"/>
        <v>一般(Normal)</v>
      </c>
      <c r="AO457" t="s">
        <v>65</v>
      </c>
      <c r="AS457" t="str">
        <f>("1998")</f>
        <v>1998</v>
      </c>
      <c r="AT457" t="str">
        <f t="shared" si="173"/>
        <v>catc</v>
      </c>
    </row>
    <row r="458" spans="1:46" x14ac:dyDescent="0.25">
      <c r="A458">
        <v>447</v>
      </c>
      <c r="B458" t="str">
        <f>("289340")</f>
        <v>289340</v>
      </c>
      <c r="C458" t="str">
        <f>("W00002483")</f>
        <v>W00002483</v>
      </c>
      <c r="D458" t="str">
        <f>("Personal financial planning /")</f>
        <v>Personal financial planning /</v>
      </c>
      <c r="E458" t="str">
        <f>("Rejda, George E.,1931- ")</f>
        <v xml:space="preserve">Rejda, George E.,1931- </v>
      </c>
      <c r="F458" t="str">
        <f>("Addison-Wesley,")</f>
        <v>Addison-Wesley,</v>
      </c>
      <c r="G458" t="str">
        <f>("1st ed ")</f>
        <v xml:space="preserve">1st ed </v>
      </c>
      <c r="H458" t="str">
        <f t="shared" si="176"/>
        <v>圖書 book</v>
      </c>
      <c r="I458" t="str">
        <f>("HG179 R381 1998")</f>
        <v>HG179 R381 1998</v>
      </c>
      <c r="J458" t="str">
        <f>("0321009274")</f>
        <v>0321009274</v>
      </c>
      <c r="K458" t="str">
        <f>("1176")</f>
        <v>1176</v>
      </c>
      <c r="L458" t="str">
        <f t="shared" si="170"/>
        <v>2001/10/10 00:00:00</v>
      </c>
      <c r="M458" t="str">
        <f>("2018/08/11 13:34:26")</f>
        <v>2018/08/11 13:34:26</v>
      </c>
      <c r="N458" t="str">
        <f>("1998")</f>
        <v>1998</v>
      </c>
      <c r="O458" t="str">
        <f t="shared" si="184"/>
        <v>4F西文書庫 4F Western Language Books</v>
      </c>
      <c r="P458" t="s">
        <v>64</v>
      </c>
      <c r="W458" t="str">
        <f t="shared" si="190"/>
        <v>美國國會圖書分類法</v>
      </c>
      <c r="Y458" t="str">
        <f>("HG179")</f>
        <v>HG179</v>
      </c>
      <c r="Z458" t="str">
        <f>("2018/08/11 13:34:26")</f>
        <v>2018/08/11 13:34:26</v>
      </c>
      <c r="AA458" t="str">
        <f t="shared" si="171"/>
        <v>catc</v>
      </c>
      <c r="AC458" t="str">
        <f>("R381")</f>
        <v>R381</v>
      </c>
      <c r="AE458" t="str">
        <f t="shared" si="187"/>
        <v>c.1</v>
      </c>
      <c r="AF458" t="str">
        <f t="shared" si="185"/>
        <v>1.可借圖書</v>
      </c>
      <c r="AG458" t="str">
        <f t="shared" si="186"/>
        <v>在架</v>
      </c>
      <c r="AI458" t="s">
        <v>65</v>
      </c>
      <c r="AK458" t="str">
        <f t="shared" si="172"/>
        <v>一般(Normal)</v>
      </c>
      <c r="AO458" t="s">
        <v>65</v>
      </c>
      <c r="AS458" t="str">
        <f>("c1998 ")</f>
        <v xml:space="preserve">c1998 </v>
      </c>
      <c r="AT458" t="str">
        <f t="shared" si="173"/>
        <v>catc</v>
      </c>
    </row>
    <row r="459" spans="1:46" x14ac:dyDescent="0.25">
      <c r="A459">
        <v>448</v>
      </c>
      <c r="B459" t="str">
        <f>("289348")</f>
        <v>289348</v>
      </c>
      <c r="C459" t="str">
        <f>("W00002484")</f>
        <v>W00002484</v>
      </c>
      <c r="D459" t="str">
        <f>("Principles of Risk Management and Insurance/")</f>
        <v>Principles of Risk Management and Insurance/</v>
      </c>
      <c r="E459" t="str">
        <f>("Rejda,George E.,1931- ")</f>
        <v xml:space="preserve">Rejda,George E.,1931- </v>
      </c>
      <c r="F459" t="str">
        <f>("Addison Wesley, ")</f>
        <v xml:space="preserve">Addison Wesley, </v>
      </c>
      <c r="G459" t="str">
        <f>("6th ed.")</f>
        <v>6th ed.</v>
      </c>
      <c r="H459" t="str">
        <f t="shared" si="176"/>
        <v>圖書 book</v>
      </c>
      <c r="I459" t="str">
        <f>("HG8051 R381 1998")</f>
        <v>HG8051 R381 1998</v>
      </c>
      <c r="J459" t="str">
        <f>("0321014510")</f>
        <v>0321014510</v>
      </c>
      <c r="K459" t="str">
        <f>("1176")</f>
        <v>1176</v>
      </c>
      <c r="L459" t="str">
        <f t="shared" si="170"/>
        <v>2001/10/10 00:00:00</v>
      </c>
      <c r="M459" t="str">
        <f>("2018/08/11 13:34:26")</f>
        <v>2018/08/11 13:34:26</v>
      </c>
      <c r="N459" t="str">
        <f>("1998")</f>
        <v>1998</v>
      </c>
      <c r="O459" t="str">
        <f t="shared" si="184"/>
        <v>4F西文書庫 4F Western Language Books</v>
      </c>
      <c r="P459" t="s">
        <v>64</v>
      </c>
      <c r="S459" t="str">
        <f>("1 v. (various pagings) :")</f>
        <v>1 v. (various pagings) :</v>
      </c>
      <c r="T459" t="str">
        <f>("ill. (some col.) ;")</f>
        <v>ill. (some col.) ;</v>
      </c>
      <c r="U459" t="str">
        <f>("26 cm. ")</f>
        <v xml:space="preserve">26 cm. </v>
      </c>
      <c r="W459" t="str">
        <f t="shared" si="190"/>
        <v>美國國會圖書分類法</v>
      </c>
      <c r="Y459" t="str">
        <f>("HG8051")</f>
        <v>HG8051</v>
      </c>
      <c r="Z459" t="str">
        <f>("2018/08/11 13:34:26")</f>
        <v>2018/08/11 13:34:26</v>
      </c>
      <c r="AA459" t="str">
        <f t="shared" si="171"/>
        <v>catc</v>
      </c>
      <c r="AC459" t="str">
        <f>("R381")</f>
        <v>R381</v>
      </c>
      <c r="AE459" t="str">
        <f t="shared" si="187"/>
        <v>c.1</v>
      </c>
      <c r="AF459" t="str">
        <f t="shared" si="185"/>
        <v>1.可借圖書</v>
      </c>
      <c r="AG459" t="str">
        <f t="shared" si="186"/>
        <v>在架</v>
      </c>
      <c r="AI459" t="s">
        <v>65</v>
      </c>
      <c r="AK459" t="str">
        <f t="shared" si="172"/>
        <v>一般(Normal)</v>
      </c>
      <c r="AO459" t="s">
        <v>65</v>
      </c>
      <c r="AS459" t="str">
        <f>("c1998.")</f>
        <v>c1998.</v>
      </c>
      <c r="AT459" t="str">
        <f t="shared" si="173"/>
        <v>catc</v>
      </c>
    </row>
    <row r="460" spans="1:46" x14ac:dyDescent="0.25">
      <c r="A460">
        <v>449</v>
      </c>
      <c r="B460" t="str">
        <f>("287642")</f>
        <v>287642</v>
      </c>
      <c r="C460" t="str">
        <f>("W00002485")</f>
        <v>W00002485</v>
      </c>
      <c r="D460" t="str">
        <f>("Human relations for career and personal success / ")</f>
        <v xml:space="preserve">Human relations for career and personal success / </v>
      </c>
      <c r="E460" t="str">
        <f>("DuBrin, Andrew J. ")</f>
        <v xml:space="preserve">DuBrin, Andrew J. </v>
      </c>
      <c r="F460" t="str">
        <f>("Prentice Hall, ")</f>
        <v xml:space="preserve">Prentice Hall, </v>
      </c>
      <c r="G460" t="str">
        <f>("5th ed. ")</f>
        <v xml:space="preserve">5th ed. </v>
      </c>
      <c r="H460" t="str">
        <f t="shared" si="176"/>
        <v>圖書 book</v>
      </c>
      <c r="I460" t="str">
        <f>("HF5386 D819 1999")</f>
        <v>HF5386 D819 1999</v>
      </c>
      <c r="J460" t="str">
        <f>("0139246630")</f>
        <v>0139246630</v>
      </c>
      <c r="K460" t="str">
        <f>("1080")</f>
        <v>1080</v>
      </c>
      <c r="L460" t="str">
        <f t="shared" si="170"/>
        <v>2001/10/10 00:00:00</v>
      </c>
      <c r="M460" t="str">
        <f>("2018/08/11 13:31:38")</f>
        <v>2018/08/11 13:31:38</v>
      </c>
      <c r="N460" t="str">
        <f>("1999")</f>
        <v>1999</v>
      </c>
      <c r="O460" t="str">
        <f t="shared" si="184"/>
        <v>4F西文書庫 4F Western Language Books</v>
      </c>
      <c r="P460" t="s">
        <v>64</v>
      </c>
      <c r="S460" t="str">
        <f>("xii, 466 p. : ")</f>
        <v xml:space="preserve">xii, 466 p. : </v>
      </c>
      <c r="T460" t="str">
        <f>("ill. (some col.) ; ")</f>
        <v xml:space="preserve">ill. (some col.) ; </v>
      </c>
      <c r="U460" t="str">
        <f>("26 cm. ")</f>
        <v xml:space="preserve">26 cm. </v>
      </c>
      <c r="W460" t="str">
        <f t="shared" si="190"/>
        <v>美國國會圖書分類法</v>
      </c>
      <c r="Y460" t="str">
        <f>("HF5386")</f>
        <v>HF5386</v>
      </c>
      <c r="Z460" t="str">
        <f>("2018/08/11 13:31:38")</f>
        <v>2018/08/11 13:31:38</v>
      </c>
      <c r="AA460" t="str">
        <f t="shared" ref="AA460:AA523" si="193">("catc")</f>
        <v>catc</v>
      </c>
      <c r="AC460" t="str">
        <f>("D819")</f>
        <v>D819</v>
      </c>
      <c r="AE460" t="str">
        <f t="shared" si="187"/>
        <v>c.1</v>
      </c>
      <c r="AF460" t="str">
        <f t="shared" si="185"/>
        <v>1.可借圖書</v>
      </c>
      <c r="AG460" t="str">
        <f t="shared" si="186"/>
        <v>在架</v>
      </c>
      <c r="AI460" t="s">
        <v>65</v>
      </c>
      <c r="AK460" t="str">
        <f t="shared" ref="AK460:AK523" si="194">("一般(Normal)")</f>
        <v>一般(Normal)</v>
      </c>
      <c r="AO460" t="s">
        <v>65</v>
      </c>
      <c r="AS460" t="str">
        <f>("c1999. ")</f>
        <v xml:space="preserve">c1999. </v>
      </c>
      <c r="AT460" t="str">
        <f t="shared" ref="AT460:AT523" si="195">("catc")</f>
        <v>catc</v>
      </c>
    </row>
    <row r="461" spans="1:46" x14ac:dyDescent="0.25">
      <c r="A461">
        <v>450</v>
      </c>
      <c r="B461" t="str">
        <f>("287502")</f>
        <v>287502</v>
      </c>
      <c r="C461" t="str">
        <f>("W00002486")</f>
        <v>W00002486</v>
      </c>
      <c r="D461" t="str">
        <f>("Fundamentals of financial management / ")</f>
        <v xml:space="preserve">Fundamentals of financial management / </v>
      </c>
      <c r="E461" t="str">
        <f>("Brigham, Eugene F., 1930- ")</f>
        <v xml:space="preserve">Brigham, Eugene F., 1930- </v>
      </c>
      <c r="F461" t="str">
        <f>("Harcourt College Publishers, ")</f>
        <v xml:space="preserve">Harcourt College Publishers, </v>
      </c>
      <c r="G461" t="str">
        <f>("9th ed. ")</f>
        <v xml:space="preserve">9th ed. </v>
      </c>
      <c r="H461" t="str">
        <f t="shared" si="176"/>
        <v>圖書 book</v>
      </c>
      <c r="I461" t="str">
        <f>("HG4026 B855-3 2001 c.7")</f>
        <v>HG4026 B855-3 2001 c.7</v>
      </c>
      <c r="J461" t="str">
        <f>("0030314615;0030314771;003034181X;0030289319;0030774969;0030776090")</f>
        <v>0030314615;0030314771;003034181X;0030289319;0030774969;0030776090</v>
      </c>
      <c r="K461" t="str">
        <f>("0")</f>
        <v>0</v>
      </c>
      <c r="L461" t="str">
        <f>("2001/12/26 00:00:00")</f>
        <v>2001/12/26 00:00:00</v>
      </c>
      <c r="M461" t="str">
        <f>("2018/08/11 13:31:24")</f>
        <v>2018/08/11 13:31:24</v>
      </c>
      <c r="N461" t="str">
        <f>("2001")</f>
        <v>2001</v>
      </c>
      <c r="O461" t="str">
        <f>("罕用書庫1-洽櫃台填單 Upon-Request Collection1 fil")</f>
        <v>罕用書庫1-洽櫃台填單 Upon-Request Collection1 fil</v>
      </c>
      <c r="P461" t="s">
        <v>64</v>
      </c>
      <c r="S461" t="str">
        <f>("1 v. (various pagings) : ")</f>
        <v xml:space="preserve">1 v. (various pagings) : </v>
      </c>
      <c r="T461" t="str">
        <f>("ill. ; ")</f>
        <v xml:space="preserve">ill. ; </v>
      </c>
      <c r="U461" t="str">
        <f>("26 cm. +")</f>
        <v>26 cm. +</v>
      </c>
      <c r="V461" t="str">
        <f>("1 student CD-ROM ")</f>
        <v xml:space="preserve">1 student CD-ROM </v>
      </c>
      <c r="W461" t="str">
        <f t="shared" si="190"/>
        <v>美國國會圖書分類法</v>
      </c>
      <c r="X461" t="str">
        <f>("825")</f>
        <v>825</v>
      </c>
      <c r="Y461" t="str">
        <f>("HG4026")</f>
        <v>HG4026</v>
      </c>
      <c r="Z461" t="str">
        <f>("2018/08/11 13:31:23")</f>
        <v>2018/08/11 13:31:23</v>
      </c>
      <c r="AA461" t="str">
        <f t="shared" si="193"/>
        <v>catc</v>
      </c>
      <c r="AC461" t="str">
        <f>("B855-3")</f>
        <v>B855-3</v>
      </c>
      <c r="AE461" t="str">
        <f>("c.7")</f>
        <v>c.7</v>
      </c>
      <c r="AF461" t="str">
        <f>("不流通")</f>
        <v>不流通</v>
      </c>
      <c r="AG461" t="str">
        <f>("報銷中")</f>
        <v>報銷中</v>
      </c>
      <c r="AI461" t="s">
        <v>65</v>
      </c>
      <c r="AK461" t="str">
        <f t="shared" si="194"/>
        <v>一般(Normal)</v>
      </c>
      <c r="AO461" t="s">
        <v>65</v>
      </c>
      <c r="AS461" t="str">
        <f>("c2001. ")</f>
        <v xml:space="preserve">c2001. </v>
      </c>
      <c r="AT461" t="str">
        <f t="shared" si="195"/>
        <v>catc</v>
      </c>
    </row>
    <row r="462" spans="1:46" x14ac:dyDescent="0.25">
      <c r="A462">
        <v>451</v>
      </c>
      <c r="B462" t="str">
        <f>("289349")</f>
        <v>289349</v>
      </c>
      <c r="C462" t="str">
        <f>("W00002487")</f>
        <v>W00002487</v>
      </c>
      <c r="D462" t="str">
        <f>("Sales management :teamwork, leadership, and technology /")</f>
        <v>Sales management :teamwork, leadership, and technology /</v>
      </c>
      <c r="E462" t="str">
        <f>("Futrell, Charles M.")</f>
        <v>Futrell, Charles M.</v>
      </c>
      <c r="F462" t="str">
        <f>("Dryden Press,")</f>
        <v>Dryden Press,</v>
      </c>
      <c r="G462" t="str">
        <f>("5th ed.")</f>
        <v>5th ed.</v>
      </c>
      <c r="H462" t="str">
        <f t="shared" si="176"/>
        <v>圖書 book</v>
      </c>
      <c r="I462" t="str">
        <f>("HF5438 F949 1998")</f>
        <v>HF5438 F949 1998</v>
      </c>
      <c r="J462" t="str">
        <f>("003010629X")</f>
        <v>003010629X</v>
      </c>
      <c r="K462" t="str">
        <f>("1128")</f>
        <v>1128</v>
      </c>
      <c r="L462" t="str">
        <f t="shared" ref="L462:L525" si="196">("2001/10/10 00:00:00")</f>
        <v>2001/10/10 00:00:00</v>
      </c>
      <c r="M462" t="str">
        <f>("2018/08/11 13:34:26")</f>
        <v>2018/08/11 13:34:26</v>
      </c>
      <c r="N462" t="str">
        <f>("1998")</f>
        <v>1998</v>
      </c>
      <c r="O462" t="str">
        <f t="shared" ref="O462:O470" si="197">("4F西文書庫 4F Western Language Books")</f>
        <v>4F西文書庫 4F Western Language Books</v>
      </c>
      <c r="P462" t="s">
        <v>64</v>
      </c>
      <c r="W462" t="str">
        <f t="shared" si="190"/>
        <v>美國國會圖書分類法</v>
      </c>
      <c r="Y462" t="str">
        <f>("HF5438")</f>
        <v>HF5438</v>
      </c>
      <c r="Z462" t="str">
        <f>("2018/08/11 13:34:26")</f>
        <v>2018/08/11 13:34:26</v>
      </c>
      <c r="AA462" t="str">
        <f t="shared" si="193"/>
        <v>catc</v>
      </c>
      <c r="AC462" t="str">
        <f>("F949")</f>
        <v>F949</v>
      </c>
      <c r="AE462" t="str">
        <f t="shared" ref="AE462:AE470" si="198">("c.1")</f>
        <v>c.1</v>
      </c>
      <c r="AF462" t="str">
        <f t="shared" ref="AF462:AF470" si="199">("1.可借圖書")</f>
        <v>1.可借圖書</v>
      </c>
      <c r="AG462" t="str">
        <f t="shared" ref="AG462:AG470" si="200">("在架")</f>
        <v>在架</v>
      </c>
      <c r="AI462" t="s">
        <v>65</v>
      </c>
      <c r="AK462" t="str">
        <f t="shared" si="194"/>
        <v>一般(Normal)</v>
      </c>
      <c r="AO462" t="s">
        <v>65</v>
      </c>
      <c r="AS462" t="str">
        <f>("c1998.")</f>
        <v>c1998.</v>
      </c>
      <c r="AT462" t="str">
        <f t="shared" si="195"/>
        <v>catc</v>
      </c>
    </row>
    <row r="463" spans="1:46" x14ac:dyDescent="0.25">
      <c r="A463">
        <v>452</v>
      </c>
      <c r="B463" t="str">
        <f>("288463")</f>
        <v>288463</v>
      </c>
      <c r="C463" t="str">
        <f>("W00002488")</f>
        <v>W00002488</v>
      </c>
      <c r="D463" t="str">
        <f>("Finance :introduction to institutions, investments and management /")</f>
        <v>Finance :introduction to institutions, investments and management /</v>
      </c>
      <c r="E463" t="str">
        <f>("Melicher, Ronald W ")</f>
        <v xml:space="preserve">Melicher, Ronald W </v>
      </c>
      <c r="F463" t="str">
        <f>("South-Western College Publishing,")</f>
        <v>South-Western College Publishing,</v>
      </c>
      <c r="G463" t="str">
        <f>("10th ed ")</f>
        <v xml:space="preserve">10th ed </v>
      </c>
      <c r="H463" t="str">
        <f t="shared" si="176"/>
        <v>圖書 book</v>
      </c>
      <c r="I463" t="str">
        <f>("HG173 M522 2000")</f>
        <v>HG173 M522 2000</v>
      </c>
      <c r="J463" t="str">
        <f>("0324004303")</f>
        <v>0324004303</v>
      </c>
      <c r="K463" t="str">
        <f>("1152")</f>
        <v>1152</v>
      </c>
      <c r="L463" t="str">
        <f t="shared" si="196"/>
        <v>2001/10/10 00:00:00</v>
      </c>
      <c r="M463" t="str">
        <f>("2018/08/11 13:32:59")</f>
        <v>2018/08/11 13:32:59</v>
      </c>
      <c r="N463" t="str">
        <f>("2000")</f>
        <v>2000</v>
      </c>
      <c r="O463" t="str">
        <f t="shared" si="197"/>
        <v>4F西文書庫 4F Western Language Books</v>
      </c>
      <c r="P463" t="s">
        <v>64</v>
      </c>
      <c r="S463" t="str">
        <f>("xxii, 677 p. :")</f>
        <v>xxii, 677 p. :</v>
      </c>
      <c r="T463" t="str">
        <f>("ill. ;")</f>
        <v>ill. ;</v>
      </c>
      <c r="U463" t="str">
        <f>("24 cm ")</f>
        <v xml:space="preserve">24 cm </v>
      </c>
      <c r="W463" t="str">
        <f t="shared" si="190"/>
        <v>美國國會圖書分類法</v>
      </c>
      <c r="Y463" t="str">
        <f>("HG173")</f>
        <v>HG173</v>
      </c>
      <c r="Z463" t="str">
        <f>("2018/08/11 13:32:59")</f>
        <v>2018/08/11 13:32:59</v>
      </c>
      <c r="AA463" t="str">
        <f t="shared" si="193"/>
        <v>catc</v>
      </c>
      <c r="AC463" t="str">
        <f>("M522")</f>
        <v>M522</v>
      </c>
      <c r="AE463" t="str">
        <f t="shared" si="198"/>
        <v>c.1</v>
      </c>
      <c r="AF463" t="str">
        <f t="shared" si="199"/>
        <v>1.可借圖書</v>
      </c>
      <c r="AG463" t="str">
        <f t="shared" si="200"/>
        <v>在架</v>
      </c>
      <c r="AI463" t="s">
        <v>65</v>
      </c>
      <c r="AK463" t="str">
        <f t="shared" si="194"/>
        <v>一般(Normal)</v>
      </c>
      <c r="AO463" t="s">
        <v>65</v>
      </c>
      <c r="AS463" t="str">
        <f>("c2000 ")</f>
        <v xml:space="preserve">c2000 </v>
      </c>
      <c r="AT463" t="str">
        <f t="shared" si="195"/>
        <v>catc</v>
      </c>
    </row>
    <row r="464" spans="1:46" x14ac:dyDescent="0.25">
      <c r="A464">
        <v>453</v>
      </c>
      <c r="B464" t="str">
        <f>("288536")</f>
        <v>288536</v>
      </c>
      <c r="C464" t="str">
        <f>("W00002489")</f>
        <v>W00002489</v>
      </c>
      <c r="D464" t="str">
        <f>("Macroeconomics/ ")</f>
        <v xml:space="preserve">Macroeconomics/ </v>
      </c>
      <c r="E464" t="str">
        <f>("Gordon,Robert J.")</f>
        <v>Gordon,Robert J.</v>
      </c>
      <c r="F464" t="str">
        <f>("Addison Wesley, ")</f>
        <v xml:space="preserve">Addison Wesley, </v>
      </c>
      <c r="G464" t="str">
        <f>("8th ed.")</f>
        <v>8th ed.</v>
      </c>
      <c r="H464" t="str">
        <f t="shared" si="176"/>
        <v>圖書 book</v>
      </c>
      <c r="I464" t="str">
        <f>("HB172.5 G662 2000")</f>
        <v>HB172.5 G662 2000</v>
      </c>
      <c r="J464" t="str">
        <f>("0321052293")</f>
        <v>0321052293</v>
      </c>
      <c r="K464" t="str">
        <f>("1176")</f>
        <v>1176</v>
      </c>
      <c r="L464" t="str">
        <f t="shared" si="196"/>
        <v>2001/10/10 00:00:00</v>
      </c>
      <c r="M464" t="str">
        <f>("2018/08/11 13:33:09")</f>
        <v>2018/08/11 13:33:09</v>
      </c>
      <c r="N464" t="str">
        <f>("2000")</f>
        <v>2000</v>
      </c>
      <c r="O464" t="str">
        <f t="shared" si="197"/>
        <v>4F西文書庫 4F Western Language Books</v>
      </c>
      <c r="P464" t="s">
        <v>64</v>
      </c>
      <c r="S464" t="str">
        <f>("1 v. (various pagings) :")</f>
        <v>1 v. (various pagings) :</v>
      </c>
      <c r="T464" t="str">
        <f>("ill. (some col.) ;")</f>
        <v>ill. (some col.) ;</v>
      </c>
      <c r="U464" t="str">
        <f>("26 cm")</f>
        <v>26 cm</v>
      </c>
      <c r="W464" t="str">
        <f t="shared" si="190"/>
        <v>美國國會圖書分類法</v>
      </c>
      <c r="Y464" t="str">
        <f>("HB172.5")</f>
        <v>HB172.5</v>
      </c>
      <c r="Z464" t="str">
        <f>("2018/08/11 13:33:09")</f>
        <v>2018/08/11 13:33:09</v>
      </c>
      <c r="AA464" t="str">
        <f t="shared" si="193"/>
        <v>catc</v>
      </c>
      <c r="AC464" t="str">
        <f>("G662")</f>
        <v>G662</v>
      </c>
      <c r="AE464" t="str">
        <f t="shared" si="198"/>
        <v>c.1</v>
      </c>
      <c r="AF464" t="str">
        <f t="shared" si="199"/>
        <v>1.可借圖書</v>
      </c>
      <c r="AG464" t="str">
        <f t="shared" si="200"/>
        <v>在架</v>
      </c>
      <c r="AI464" t="s">
        <v>65</v>
      </c>
      <c r="AK464" t="str">
        <f t="shared" si="194"/>
        <v>一般(Normal)</v>
      </c>
      <c r="AO464" t="s">
        <v>65</v>
      </c>
      <c r="AS464" t="str">
        <f>("2000.")</f>
        <v>2000.</v>
      </c>
      <c r="AT464" t="str">
        <f t="shared" si="195"/>
        <v>catc</v>
      </c>
    </row>
    <row r="465" spans="1:46" x14ac:dyDescent="0.25">
      <c r="A465">
        <v>454</v>
      </c>
      <c r="B465" t="str">
        <f>("288059")</f>
        <v>288059</v>
      </c>
      <c r="C465" t="str">
        <f>("W00002490")</f>
        <v>W00002490</v>
      </c>
      <c r="D465" t="str">
        <f>("Planning, performing, and controlling projects :principles and applications /")</f>
        <v>Planning, performing, and controlling projects :principles and applications /</v>
      </c>
      <c r="E465" t="str">
        <f>("Angus, Robert B.")</f>
        <v>Angus, Robert B.</v>
      </c>
      <c r="F465" t="str">
        <f>("Prentice Hall,")</f>
        <v>Prentice Hall,</v>
      </c>
      <c r="G465" t="str">
        <f>("2nd ed ")</f>
        <v xml:space="preserve">2nd ed </v>
      </c>
      <c r="H465" t="str">
        <f t="shared" si="176"/>
        <v>圖書 book</v>
      </c>
      <c r="I465" t="str">
        <f>("T58.8 A595-2 2000")</f>
        <v>T58.8 A595-2 2000</v>
      </c>
      <c r="J465" t="str">
        <f>("0130998788")</f>
        <v>0130998788</v>
      </c>
      <c r="K465" t="str">
        <f>("1056")</f>
        <v>1056</v>
      </c>
      <c r="L465" t="str">
        <f t="shared" si="196"/>
        <v>2001/10/10 00:00:00</v>
      </c>
      <c r="M465" t="str">
        <f>("2018/08/11 13:32:22")</f>
        <v>2018/08/11 13:32:22</v>
      </c>
      <c r="N465" t="str">
        <f>("2000")</f>
        <v>2000</v>
      </c>
      <c r="O465" t="str">
        <f t="shared" si="197"/>
        <v>4F西文書庫 4F Western Language Books</v>
      </c>
      <c r="P465" t="s">
        <v>64</v>
      </c>
      <c r="W465" t="str">
        <f t="shared" si="190"/>
        <v>美國國會圖書分類法</v>
      </c>
      <c r="Y465" t="str">
        <f>("T58.8")</f>
        <v>T58.8</v>
      </c>
      <c r="Z465" t="str">
        <f>("2018/08/11 13:32:22")</f>
        <v>2018/08/11 13:32:22</v>
      </c>
      <c r="AA465" t="str">
        <f t="shared" si="193"/>
        <v>catc</v>
      </c>
      <c r="AC465" t="str">
        <f>("A595-2")</f>
        <v>A595-2</v>
      </c>
      <c r="AE465" t="str">
        <f t="shared" si="198"/>
        <v>c.1</v>
      </c>
      <c r="AF465" t="str">
        <f t="shared" si="199"/>
        <v>1.可借圖書</v>
      </c>
      <c r="AG465" t="str">
        <f t="shared" si="200"/>
        <v>在架</v>
      </c>
      <c r="AI465" t="s">
        <v>65</v>
      </c>
      <c r="AK465" t="str">
        <f t="shared" si="194"/>
        <v>一般(Normal)</v>
      </c>
      <c r="AO465" t="s">
        <v>65</v>
      </c>
      <c r="AS465" t="str">
        <f>("2000 ")</f>
        <v xml:space="preserve">2000 </v>
      </c>
      <c r="AT465" t="str">
        <f t="shared" si="195"/>
        <v>catc</v>
      </c>
    </row>
    <row r="466" spans="1:46" x14ac:dyDescent="0.25">
      <c r="A466">
        <v>455</v>
      </c>
      <c r="B466" t="str">
        <f>("287648")</f>
        <v>287648</v>
      </c>
      <c r="C466" t="str">
        <f>("W00002491")</f>
        <v>W00002491</v>
      </c>
      <c r="D466" t="str">
        <f>("Business /")</f>
        <v>Business /</v>
      </c>
      <c r="E466" t="str">
        <f>("Pride, William M.")</f>
        <v>Pride, William M.</v>
      </c>
      <c r="F466" t="str">
        <f>("Houghton Mifflin Co.,")</f>
        <v>Houghton Mifflin Co.,</v>
      </c>
      <c r="G466" t="str">
        <f>("6th ed.")</f>
        <v>6th ed.</v>
      </c>
      <c r="H466" t="str">
        <f t="shared" si="176"/>
        <v>圖書 book</v>
      </c>
      <c r="I466" t="str">
        <f>("HD70.U5 P945-2 1999")</f>
        <v>HD70.U5 P945-2 1999</v>
      </c>
      <c r="J466" t="str">
        <f>("0395900808;0395900794")</f>
        <v>0395900808;0395900794</v>
      </c>
      <c r="K466" t="str">
        <f>("1176")</f>
        <v>1176</v>
      </c>
      <c r="L466" t="str">
        <f t="shared" si="196"/>
        <v>2001/10/10 00:00:00</v>
      </c>
      <c r="M466" t="str">
        <f>("2018/08/11 13:31:39")</f>
        <v>2018/08/11 13:31:39</v>
      </c>
      <c r="N466" t="str">
        <f>("1999")</f>
        <v>1999</v>
      </c>
      <c r="O466" t="str">
        <f t="shared" si="197"/>
        <v>4F西文書庫 4F Western Language Books</v>
      </c>
      <c r="P466" t="s">
        <v>64</v>
      </c>
      <c r="S466" t="str">
        <f>("xxxi, 591, 86 p. :")</f>
        <v>xxxi, 591, 86 p. :</v>
      </c>
      <c r="T466" t="str">
        <f>("ill. (some col.) ;")</f>
        <v>ill. (some col.) ;</v>
      </c>
      <c r="U466" t="str">
        <f>("29 cm.")</f>
        <v>29 cm.</v>
      </c>
      <c r="W466" t="str">
        <f t="shared" si="190"/>
        <v>美國國會圖書分類法</v>
      </c>
      <c r="Y466" t="str">
        <f>("HD70.U5")</f>
        <v>HD70.U5</v>
      </c>
      <c r="Z466" t="str">
        <f>("2018/08/11 13:31:39")</f>
        <v>2018/08/11 13:31:39</v>
      </c>
      <c r="AA466" t="str">
        <f t="shared" si="193"/>
        <v>catc</v>
      </c>
      <c r="AC466" t="str">
        <f>("P945-2")</f>
        <v>P945-2</v>
      </c>
      <c r="AE466" t="str">
        <f t="shared" si="198"/>
        <v>c.1</v>
      </c>
      <c r="AF466" t="str">
        <f t="shared" si="199"/>
        <v>1.可借圖書</v>
      </c>
      <c r="AG466" t="str">
        <f t="shared" si="200"/>
        <v>在架</v>
      </c>
      <c r="AI466" t="s">
        <v>65</v>
      </c>
      <c r="AK466" t="str">
        <f t="shared" si="194"/>
        <v>一般(Normal)</v>
      </c>
      <c r="AO466" t="s">
        <v>65</v>
      </c>
      <c r="AS466" t="str">
        <f>("c1999.")</f>
        <v>c1999.</v>
      </c>
      <c r="AT466" t="str">
        <f t="shared" si="195"/>
        <v>catc</v>
      </c>
    </row>
    <row r="467" spans="1:46" x14ac:dyDescent="0.25">
      <c r="A467">
        <v>456</v>
      </c>
      <c r="B467" t="str">
        <f>("287641")</f>
        <v>287641</v>
      </c>
      <c r="C467" t="str">
        <f>("W00002492")</f>
        <v>W00002492</v>
      </c>
      <c r="D467" t="str">
        <f>("Strategic management :a managerial perspective /")</f>
        <v>Strategic management :a managerial perspective /</v>
      </c>
      <c r="E467" t="str">
        <f>("Bourgeois, L. J ")</f>
        <v xml:space="preserve">Bourgeois, L. J </v>
      </c>
      <c r="F467" t="str">
        <f>("Dryden Press,")</f>
        <v>Dryden Press,</v>
      </c>
      <c r="G467" t="str">
        <f>("2nd ed ")</f>
        <v xml:space="preserve">2nd ed </v>
      </c>
      <c r="H467" t="str">
        <f t="shared" si="176"/>
        <v>圖書 book</v>
      </c>
      <c r="I467" t="str">
        <f>("HD30.28 B772 1999")</f>
        <v>HD30.28 B772 1999</v>
      </c>
      <c r="J467" t="str">
        <f>("0030223733")</f>
        <v>0030223733</v>
      </c>
      <c r="K467" t="str">
        <f>("1320")</f>
        <v>1320</v>
      </c>
      <c r="L467" t="str">
        <f t="shared" si="196"/>
        <v>2001/10/10 00:00:00</v>
      </c>
      <c r="M467" t="str">
        <f>("2018/08/11 13:31:38")</f>
        <v>2018/08/11 13:31:38</v>
      </c>
      <c r="N467" t="str">
        <f>("1999")</f>
        <v>1999</v>
      </c>
      <c r="O467" t="str">
        <f t="shared" si="197"/>
        <v>4F西文書庫 4F Western Language Books</v>
      </c>
      <c r="P467" t="s">
        <v>64</v>
      </c>
      <c r="S467" t="str">
        <f>("1 v. (various pagings) :")</f>
        <v>1 v. (various pagings) :</v>
      </c>
      <c r="T467" t="str">
        <f>("ill. ;")</f>
        <v>ill. ;</v>
      </c>
      <c r="U467" t="str">
        <f>("26 cm ")</f>
        <v xml:space="preserve">26 cm </v>
      </c>
      <c r="W467" t="str">
        <f t="shared" si="190"/>
        <v>美國國會圖書分類法</v>
      </c>
      <c r="Y467" t="str">
        <f>("HD30.28")</f>
        <v>HD30.28</v>
      </c>
      <c r="Z467" t="str">
        <f>("2018/08/11 13:31:38")</f>
        <v>2018/08/11 13:31:38</v>
      </c>
      <c r="AA467" t="str">
        <f t="shared" si="193"/>
        <v>catc</v>
      </c>
      <c r="AC467" t="str">
        <f>("B772")</f>
        <v>B772</v>
      </c>
      <c r="AE467" t="str">
        <f t="shared" si="198"/>
        <v>c.1</v>
      </c>
      <c r="AF467" t="str">
        <f t="shared" si="199"/>
        <v>1.可借圖書</v>
      </c>
      <c r="AG467" t="str">
        <f t="shared" si="200"/>
        <v>在架</v>
      </c>
      <c r="AI467" t="s">
        <v>65</v>
      </c>
      <c r="AK467" t="str">
        <f t="shared" si="194"/>
        <v>一般(Normal)</v>
      </c>
      <c r="AO467" t="s">
        <v>65</v>
      </c>
      <c r="AS467" t="str">
        <f>("c1999 ")</f>
        <v xml:space="preserve">c1999 </v>
      </c>
      <c r="AT467" t="str">
        <f t="shared" si="195"/>
        <v>catc</v>
      </c>
    </row>
    <row r="468" spans="1:46" x14ac:dyDescent="0.25">
      <c r="A468">
        <v>457</v>
      </c>
      <c r="B468" t="str">
        <f>("287432")</f>
        <v>287432</v>
      </c>
      <c r="C468" t="str">
        <f>("W00002493")</f>
        <v>W00002493</v>
      </c>
      <c r="D468" t="str">
        <f>("Foundations of behavioral research /")</f>
        <v>Foundations of behavioral research /</v>
      </c>
      <c r="E468" t="str">
        <f>("Kerlinger, Fred N.1910- ")</f>
        <v xml:space="preserve">Kerlinger, Fred N.1910- </v>
      </c>
      <c r="F468" t="str">
        <f>("Harcourt College Publishers,")</f>
        <v>Harcourt College Publishers,</v>
      </c>
      <c r="G468" t="str">
        <f>("4th ed ")</f>
        <v xml:space="preserve">4th ed </v>
      </c>
      <c r="H468" t="str">
        <f t="shared" si="176"/>
        <v>圖書 book</v>
      </c>
      <c r="I468" t="str">
        <f>("BF76.5 K39-2 1999")</f>
        <v>BF76.5 K39-2 1999</v>
      </c>
      <c r="J468" t="str">
        <f>("0155078976")</f>
        <v>0155078976</v>
      </c>
      <c r="K468" t="str">
        <f>("1176")</f>
        <v>1176</v>
      </c>
      <c r="L468" t="str">
        <f t="shared" si="196"/>
        <v>2001/10/10 00:00:00</v>
      </c>
      <c r="M468" t="str">
        <f>("2018/08/11 13:31:13")</f>
        <v>2018/08/11 13:31:13</v>
      </c>
      <c r="N468" t="str">
        <f>("1999")</f>
        <v>1999</v>
      </c>
      <c r="O468" t="str">
        <f t="shared" si="197"/>
        <v>4F西文書庫 4F Western Language Books</v>
      </c>
      <c r="P468" t="s">
        <v>64</v>
      </c>
      <c r="S468" t="str">
        <f>("xxv, 890, [90] p.:")</f>
        <v>xxv, 890, [90] p.:</v>
      </c>
      <c r="T468" t="str">
        <f>("ill. ;")</f>
        <v>ill. ;</v>
      </c>
      <c r="U468" t="str">
        <f>("25 cm ")</f>
        <v xml:space="preserve">25 cm </v>
      </c>
      <c r="W468" t="str">
        <f t="shared" si="190"/>
        <v>美國國會圖書分類法</v>
      </c>
      <c r="Y468" t="str">
        <f>("BF76.5")</f>
        <v>BF76.5</v>
      </c>
      <c r="Z468" t="str">
        <f>("2018/08/11 13:31:13")</f>
        <v>2018/08/11 13:31:13</v>
      </c>
      <c r="AA468" t="str">
        <f t="shared" si="193"/>
        <v>catc</v>
      </c>
      <c r="AC468" t="str">
        <f>("K39-2")</f>
        <v>K39-2</v>
      </c>
      <c r="AE468" t="str">
        <f t="shared" si="198"/>
        <v>c.1</v>
      </c>
      <c r="AF468" t="str">
        <f t="shared" si="199"/>
        <v>1.可借圖書</v>
      </c>
      <c r="AG468" t="str">
        <f t="shared" si="200"/>
        <v>在架</v>
      </c>
      <c r="AI468" t="s">
        <v>65</v>
      </c>
      <c r="AK468" t="str">
        <f t="shared" si="194"/>
        <v>一般(Normal)</v>
      </c>
      <c r="AO468" t="s">
        <v>65</v>
      </c>
      <c r="AS468" t="str">
        <f>("1999 ")</f>
        <v xml:space="preserve">1999 </v>
      </c>
      <c r="AT468" t="str">
        <f t="shared" si="195"/>
        <v>catc</v>
      </c>
    </row>
    <row r="469" spans="1:46" x14ac:dyDescent="0.25">
      <c r="A469">
        <v>458</v>
      </c>
      <c r="B469" t="str">
        <f>("287503")</f>
        <v>287503</v>
      </c>
      <c r="C469" t="str">
        <f>("W00002494")</f>
        <v>W00002494</v>
      </c>
      <c r="D469" t="str">
        <f>("Environmental and natural resource economics /")</f>
        <v>Environmental and natural resource economics /</v>
      </c>
      <c r="E469" t="str">
        <f>("Tietenberg, Thomas H. ")</f>
        <v xml:space="preserve">Tietenberg, Thomas H. </v>
      </c>
      <c r="F469" t="str">
        <f>("Addison-Wesley,")</f>
        <v>Addison-Wesley,</v>
      </c>
      <c r="G469" t="str">
        <f>("5th ed. ")</f>
        <v xml:space="preserve">5th ed. </v>
      </c>
      <c r="H469" t="str">
        <f t="shared" ref="H469:H532" si="201">("圖書 book")</f>
        <v>圖書 book</v>
      </c>
      <c r="I469" t="str">
        <f>("HC79.E5 T559-2 2000")</f>
        <v>HC79.E5 T559-2 2000</v>
      </c>
      <c r="J469" t="str">
        <f>("0321031288")</f>
        <v>0321031288</v>
      </c>
      <c r="K469" t="str">
        <f>("1104")</f>
        <v>1104</v>
      </c>
      <c r="L469" t="str">
        <f t="shared" si="196"/>
        <v>2001/10/10 00:00:00</v>
      </c>
      <c r="M469" t="str">
        <f>("2018/08/11 13:31:24")</f>
        <v>2018/08/11 13:31:24</v>
      </c>
      <c r="N469" t="str">
        <f>("2000")</f>
        <v>2000</v>
      </c>
      <c r="O469" t="str">
        <f t="shared" si="197"/>
        <v>4F西文書庫 4F Western Language Books</v>
      </c>
      <c r="P469" t="s">
        <v>64</v>
      </c>
      <c r="S469" t="str">
        <f>("xxv, 630 p. :")</f>
        <v>xxv, 630 p. :</v>
      </c>
      <c r="T469" t="str">
        <f>("ill. ;")</f>
        <v>ill. ;</v>
      </c>
      <c r="U469" t="str">
        <f>("24 cm. ")</f>
        <v xml:space="preserve">24 cm. </v>
      </c>
      <c r="W469" t="str">
        <f t="shared" si="190"/>
        <v>美國國會圖書分類法</v>
      </c>
      <c r="Y469" t="str">
        <f>("HC79.E5")</f>
        <v>HC79.E5</v>
      </c>
      <c r="Z469" t="str">
        <f>("2018/08/11 13:31:24")</f>
        <v>2018/08/11 13:31:24</v>
      </c>
      <c r="AA469" t="str">
        <f t="shared" si="193"/>
        <v>catc</v>
      </c>
      <c r="AC469" t="str">
        <f>("T559-2")</f>
        <v>T559-2</v>
      </c>
      <c r="AE469" t="str">
        <f t="shared" si="198"/>
        <v>c.1</v>
      </c>
      <c r="AF469" t="str">
        <f t="shared" si="199"/>
        <v>1.可借圖書</v>
      </c>
      <c r="AG469" t="str">
        <f t="shared" si="200"/>
        <v>在架</v>
      </c>
      <c r="AI469" t="s">
        <v>65</v>
      </c>
      <c r="AK469" t="str">
        <f t="shared" si="194"/>
        <v>一般(Normal)</v>
      </c>
      <c r="AO469" t="s">
        <v>65</v>
      </c>
      <c r="AS469" t="str">
        <f>("c2000. ")</f>
        <v xml:space="preserve">c2000. </v>
      </c>
      <c r="AT469" t="str">
        <f t="shared" si="195"/>
        <v>catc</v>
      </c>
    </row>
    <row r="470" spans="1:46" x14ac:dyDescent="0.25">
      <c r="A470">
        <v>459</v>
      </c>
      <c r="B470" t="str">
        <f>("287412")</f>
        <v>287412</v>
      </c>
      <c r="C470" t="str">
        <f>("W00002495")</f>
        <v>W00002495</v>
      </c>
      <c r="D470" t="str">
        <f>("Mathematics for management and finance /")</f>
        <v>Mathematics for management and finance /</v>
      </c>
      <c r="E470" t="str">
        <f>("Shao, Stephen Pinyee,1924- ")</f>
        <v xml:space="preserve">Shao, Stephen Pinyee,1924- </v>
      </c>
      <c r="F470" t="str">
        <f>("South-Western College Pub.,")</f>
        <v>South-Western College Pub.,</v>
      </c>
      <c r="G470" t="str">
        <f>("8th ed ")</f>
        <v xml:space="preserve">8th ed </v>
      </c>
      <c r="H470" t="str">
        <f t="shared" si="201"/>
        <v>圖書 book</v>
      </c>
      <c r="I470" t="str">
        <f>("HF5691 S524 1998")</f>
        <v>HF5691 S524 1998</v>
      </c>
      <c r="J470" t="str">
        <f>("0538870990")</f>
        <v>0538870990</v>
      </c>
      <c r="K470" t="str">
        <f>("1272")</f>
        <v>1272</v>
      </c>
      <c r="L470" t="str">
        <f t="shared" si="196"/>
        <v>2001/10/10 00:00:00</v>
      </c>
      <c r="M470" t="str">
        <f>("2018/08/11 13:31:14")</f>
        <v>2018/08/11 13:31:14</v>
      </c>
      <c r="N470" t="str">
        <f>("1998")</f>
        <v>1998</v>
      </c>
      <c r="O470" t="str">
        <f t="shared" si="197"/>
        <v>4F西文書庫 4F Western Language Books</v>
      </c>
      <c r="P470" t="s">
        <v>64</v>
      </c>
      <c r="W470" t="str">
        <f t="shared" si="190"/>
        <v>美國國會圖書分類法</v>
      </c>
      <c r="Y470" t="str">
        <f>("HF5691")</f>
        <v>HF5691</v>
      </c>
      <c r="Z470" t="str">
        <f>("2018/08/11 13:31:14")</f>
        <v>2018/08/11 13:31:14</v>
      </c>
      <c r="AA470" t="str">
        <f t="shared" si="193"/>
        <v>catc</v>
      </c>
      <c r="AC470" t="str">
        <f>("S524")</f>
        <v>S524</v>
      </c>
      <c r="AE470" t="str">
        <f t="shared" si="198"/>
        <v>c.1</v>
      </c>
      <c r="AF470" t="str">
        <f t="shared" si="199"/>
        <v>1.可借圖書</v>
      </c>
      <c r="AG470" t="str">
        <f t="shared" si="200"/>
        <v>在架</v>
      </c>
      <c r="AI470" t="s">
        <v>65</v>
      </c>
      <c r="AK470" t="str">
        <f t="shared" si="194"/>
        <v>一般(Normal)</v>
      </c>
      <c r="AO470" t="s">
        <v>65</v>
      </c>
      <c r="AS470" t="str">
        <f>("c1998 ")</f>
        <v xml:space="preserve">c1998 </v>
      </c>
      <c r="AT470" t="str">
        <f t="shared" si="195"/>
        <v>catc</v>
      </c>
    </row>
    <row r="471" spans="1:46" x14ac:dyDescent="0.25">
      <c r="A471">
        <v>460</v>
      </c>
      <c r="B471" t="str">
        <f>("288075")</f>
        <v>288075</v>
      </c>
      <c r="C471" t="str">
        <f>("W00002496")</f>
        <v>W00002496</v>
      </c>
      <c r="D471" t="str">
        <f>("The Warren Buffett portfolio : mastering the power of the focus investment strategy / ")</f>
        <v xml:space="preserve">The Warren Buffett portfolio : mastering the power of the focus investment strategy / </v>
      </c>
      <c r="E471" t="str">
        <f>("Hagstrom, Robert G., 1956- ")</f>
        <v xml:space="preserve">Hagstrom, Robert G., 1956- </v>
      </c>
      <c r="F471" t="str">
        <f>("Wiley, ")</f>
        <v xml:space="preserve">Wiley, </v>
      </c>
      <c r="H471" t="str">
        <f t="shared" si="201"/>
        <v>圖書 book</v>
      </c>
      <c r="I471" t="str">
        <f>("HG4521 H146 1999 c.2")</f>
        <v>HG4521 H146 1999 c.2</v>
      </c>
      <c r="J471" t="str">
        <f>("0471247669")</f>
        <v>0471247669</v>
      </c>
      <c r="K471" t="str">
        <f>("864")</f>
        <v>864</v>
      </c>
      <c r="L471" t="str">
        <f t="shared" si="196"/>
        <v>2001/10/10 00:00:00</v>
      </c>
      <c r="M471" t="str">
        <f>("2018/08/11 13:32:22")</f>
        <v>2018/08/11 13:32:22</v>
      </c>
      <c r="N471" t="str">
        <f>("1999")</f>
        <v>1999</v>
      </c>
      <c r="O471" t="str">
        <f>("罕用書庫1-洽櫃台填單 Upon-Request Collection1 fil")</f>
        <v>罕用書庫1-洽櫃台填單 Upon-Request Collection1 fil</v>
      </c>
      <c r="P471" t="s">
        <v>64</v>
      </c>
      <c r="S471" t="str">
        <f>("x, 246 p. : ")</f>
        <v xml:space="preserve">x, 246 p. : </v>
      </c>
      <c r="T471" t="str">
        <f>("ill. ; ")</f>
        <v xml:space="preserve">ill. ; </v>
      </c>
      <c r="U471" t="str">
        <f>("24 cm. ")</f>
        <v xml:space="preserve">24 cm. </v>
      </c>
      <c r="W471" t="str">
        <f t="shared" si="190"/>
        <v>美國國會圖書分類法</v>
      </c>
      <c r="Y471" t="str">
        <f>("HG4521")</f>
        <v>HG4521</v>
      </c>
      <c r="Z471" t="str">
        <f>("2018/08/11 13:32:22")</f>
        <v>2018/08/11 13:32:22</v>
      </c>
      <c r="AA471" t="str">
        <f t="shared" si="193"/>
        <v>catc</v>
      </c>
      <c r="AC471" t="str">
        <f>("H146")</f>
        <v>H146</v>
      </c>
      <c r="AE471" t="str">
        <f>("c.2")</f>
        <v>c.2</v>
      </c>
      <c r="AF471" t="str">
        <f>("不流通")</f>
        <v>不流通</v>
      </c>
      <c r="AG471" t="str">
        <f>("報銷中")</f>
        <v>報銷中</v>
      </c>
      <c r="AI471" t="s">
        <v>65</v>
      </c>
      <c r="AK471" t="str">
        <f t="shared" si="194"/>
        <v>一般(Normal)</v>
      </c>
      <c r="AO471" t="s">
        <v>65</v>
      </c>
      <c r="AS471" t="str">
        <f>("c1999. ")</f>
        <v xml:space="preserve">c1999. </v>
      </c>
      <c r="AT471" t="str">
        <f t="shared" si="195"/>
        <v>catc</v>
      </c>
    </row>
    <row r="472" spans="1:46" x14ac:dyDescent="0.25">
      <c r="A472">
        <v>461</v>
      </c>
      <c r="B472" t="str">
        <f>("287636")</f>
        <v>287636</v>
      </c>
      <c r="C472" t="str">
        <f>("W00002497")</f>
        <v>W00002497</v>
      </c>
      <c r="D472" t="str">
        <f>("Modern competitive analysis /")</f>
        <v>Modern competitive analysis /</v>
      </c>
      <c r="E472" t="str">
        <f>("Oster, Sharon M.")</f>
        <v>Oster, Sharon M.</v>
      </c>
      <c r="F472" t="str">
        <f>("Oxford University Press,")</f>
        <v>Oxford University Press,</v>
      </c>
      <c r="G472" t="str">
        <f>("3rd ed.")</f>
        <v>3rd ed.</v>
      </c>
      <c r="H472" t="str">
        <f t="shared" si="201"/>
        <v>圖書 book</v>
      </c>
      <c r="I472" t="str">
        <f>("HD41 O85 1999 c.2")</f>
        <v>HD41 O85 1999 c.2</v>
      </c>
      <c r="J472" t="str">
        <f>("019511941X")</f>
        <v>019511941X</v>
      </c>
      <c r="K472" t="str">
        <f>("1176")</f>
        <v>1176</v>
      </c>
      <c r="L472" t="str">
        <f t="shared" si="196"/>
        <v>2001/10/10 00:00:00</v>
      </c>
      <c r="M472" t="str">
        <f>("2018/08/11 13:31:37")</f>
        <v>2018/08/11 13:31:37</v>
      </c>
      <c r="N472" t="str">
        <f>("1999")</f>
        <v>1999</v>
      </c>
      <c r="O472" t="str">
        <f>("罕用書庫1-洽櫃台填單 Upon-Request Collection1 fil")</f>
        <v>罕用書庫1-洽櫃台填單 Upon-Request Collection1 fil</v>
      </c>
      <c r="P472" t="s">
        <v>64</v>
      </c>
      <c r="S472" t="str">
        <f>("x, 434 p. :")</f>
        <v>x, 434 p. :</v>
      </c>
      <c r="T472" t="str">
        <f>("ill. ;")</f>
        <v>ill. ;</v>
      </c>
      <c r="U472" t="str">
        <f>("24 cm.")</f>
        <v>24 cm.</v>
      </c>
      <c r="W472" t="str">
        <f t="shared" si="190"/>
        <v>美國國會圖書分類法</v>
      </c>
      <c r="Y472" t="str">
        <f>("HD41")</f>
        <v>HD41</v>
      </c>
      <c r="Z472" t="str">
        <f>("2018/08/11 13:31:37")</f>
        <v>2018/08/11 13:31:37</v>
      </c>
      <c r="AA472" t="str">
        <f t="shared" si="193"/>
        <v>catc</v>
      </c>
      <c r="AC472" t="str">
        <f>("O85")</f>
        <v>O85</v>
      </c>
      <c r="AE472" t="str">
        <f>("c.2")</f>
        <v>c.2</v>
      </c>
      <c r="AF472" t="str">
        <f>("不流通")</f>
        <v>不流通</v>
      </c>
      <c r="AG472" t="str">
        <f>("報銷中")</f>
        <v>報銷中</v>
      </c>
      <c r="AI472" t="s">
        <v>65</v>
      </c>
      <c r="AK472" t="str">
        <f t="shared" si="194"/>
        <v>一般(Normal)</v>
      </c>
      <c r="AO472" t="s">
        <v>65</v>
      </c>
      <c r="AS472" t="str">
        <f>("1999.")</f>
        <v>1999.</v>
      </c>
      <c r="AT472" t="str">
        <f t="shared" si="195"/>
        <v>catc</v>
      </c>
    </row>
    <row r="473" spans="1:46" x14ac:dyDescent="0.25">
      <c r="A473">
        <v>462</v>
      </c>
      <c r="B473" t="str">
        <f>("287890")</f>
        <v>287890</v>
      </c>
      <c r="C473" t="str">
        <f>("W00002498")</f>
        <v>W00002498</v>
      </c>
      <c r="D473" t="str">
        <f>("Games of strategy /")</f>
        <v>Games of strategy /</v>
      </c>
      <c r="E473" t="str">
        <f>("Dixit, Avinash K. ")</f>
        <v xml:space="preserve">Dixit, Avinash K. </v>
      </c>
      <c r="F473" t="str">
        <f>("Norton,")</f>
        <v>Norton,</v>
      </c>
      <c r="H473" t="str">
        <f t="shared" si="201"/>
        <v>圖書 book</v>
      </c>
      <c r="I473" t="str">
        <f>("HB144 D619 1999")</f>
        <v>HB144 D619 1999</v>
      </c>
      <c r="J473" t="str">
        <f>("0393974219")</f>
        <v>0393974219</v>
      </c>
      <c r="K473" t="str">
        <f>("1248")</f>
        <v>1248</v>
      </c>
      <c r="L473" t="str">
        <f t="shared" si="196"/>
        <v>2001/10/10 00:00:00</v>
      </c>
      <c r="M473" t="str">
        <f>("2018/08/11 13:32:04")</f>
        <v>2018/08/11 13:32:04</v>
      </c>
      <c r="N473" t="str">
        <f>("1999")</f>
        <v>1999</v>
      </c>
      <c r="O473" t="str">
        <f>("4F西文書庫 4F Western Language Books")</f>
        <v>4F西文書庫 4F Western Language Books</v>
      </c>
      <c r="P473" t="s">
        <v>64</v>
      </c>
      <c r="W473" t="str">
        <f t="shared" si="190"/>
        <v>美國國會圖書分類法</v>
      </c>
      <c r="Y473" t="str">
        <f>("HB144")</f>
        <v>HB144</v>
      </c>
      <c r="Z473" t="str">
        <f>("2018/08/11 13:32:04")</f>
        <v>2018/08/11 13:32:04</v>
      </c>
      <c r="AA473" t="str">
        <f t="shared" si="193"/>
        <v>catc</v>
      </c>
      <c r="AC473" t="str">
        <f>("D619")</f>
        <v>D619</v>
      </c>
      <c r="AE473" t="str">
        <f>("c.1")</f>
        <v>c.1</v>
      </c>
      <c r="AF473" t="str">
        <f>("1.可借圖書")</f>
        <v>1.可借圖書</v>
      </c>
      <c r="AG473" t="str">
        <f>("在架")</f>
        <v>在架</v>
      </c>
      <c r="AI473" t="s">
        <v>65</v>
      </c>
      <c r="AK473" t="str">
        <f t="shared" si="194"/>
        <v>一般(Normal)</v>
      </c>
      <c r="AO473" t="s">
        <v>65</v>
      </c>
      <c r="AS473" t="str">
        <f>("1999. ")</f>
        <v xml:space="preserve">1999. </v>
      </c>
      <c r="AT473" t="str">
        <f t="shared" si="195"/>
        <v>catc</v>
      </c>
    </row>
    <row r="474" spans="1:46" x14ac:dyDescent="0.25">
      <c r="A474">
        <v>463</v>
      </c>
      <c r="B474" t="str">
        <f>("288664")</f>
        <v>288664</v>
      </c>
      <c r="C474" t="str">
        <f>("W00002499")</f>
        <v>W00002499</v>
      </c>
      <c r="D474" t="str">
        <f>("Linear Models in Statistics/ ")</f>
        <v xml:space="preserve">Linear Models in Statistics/ </v>
      </c>
      <c r="E474" t="str">
        <f>("Rencher,Alvin C.")</f>
        <v>Rencher,Alvin C.</v>
      </c>
      <c r="F474" t="str">
        <f>("Wiley Inter-science, ")</f>
        <v xml:space="preserve">Wiley Inter-science, </v>
      </c>
      <c r="H474" t="str">
        <f t="shared" si="201"/>
        <v>圖書 book</v>
      </c>
      <c r="I474" t="str">
        <f>("QA279 R393 2000")</f>
        <v>QA279 R393 2000</v>
      </c>
      <c r="J474" t="str">
        <f>("0471315648;0471315648")</f>
        <v>0471315648;0471315648</v>
      </c>
      <c r="K474" t="str">
        <f>("1344")</f>
        <v>1344</v>
      </c>
      <c r="L474" t="str">
        <f t="shared" si="196"/>
        <v>2001/10/10 00:00:00</v>
      </c>
      <c r="M474" t="str">
        <f>("2018/08/11 13:33:21")</f>
        <v>2018/08/11 13:33:21</v>
      </c>
      <c r="N474" t="str">
        <f>("2000")</f>
        <v>2000</v>
      </c>
      <c r="O474" t="str">
        <f>("4F西文書庫 4F Western Language Books")</f>
        <v>4F西文書庫 4F Western Language Books</v>
      </c>
      <c r="P474" t="s">
        <v>64</v>
      </c>
      <c r="S474" t="str">
        <f>("578p.: ")</f>
        <v xml:space="preserve">578p.: </v>
      </c>
      <c r="T474" t="str">
        <f>("ill. ; ")</f>
        <v xml:space="preserve">ill. ; </v>
      </c>
      <c r="U474" t="str">
        <f>("24cm.")</f>
        <v>24cm.</v>
      </c>
      <c r="W474" t="str">
        <f t="shared" si="190"/>
        <v>美國國會圖書分類法</v>
      </c>
      <c r="Y474" t="str">
        <f>("QA279")</f>
        <v>QA279</v>
      </c>
      <c r="Z474" t="str">
        <f>("2018/08/11 13:33:21")</f>
        <v>2018/08/11 13:33:21</v>
      </c>
      <c r="AA474" t="str">
        <f t="shared" si="193"/>
        <v>catc</v>
      </c>
      <c r="AC474" t="str">
        <f>("R393")</f>
        <v>R393</v>
      </c>
      <c r="AE474" t="str">
        <f>("c.1")</f>
        <v>c.1</v>
      </c>
      <c r="AF474" t="str">
        <f>("1.可借圖書")</f>
        <v>1.可借圖書</v>
      </c>
      <c r="AG474" t="str">
        <f>("在架")</f>
        <v>在架</v>
      </c>
      <c r="AI474" t="s">
        <v>65</v>
      </c>
      <c r="AK474" t="str">
        <f t="shared" si="194"/>
        <v>一般(Normal)</v>
      </c>
      <c r="AO474" t="s">
        <v>65</v>
      </c>
      <c r="AS474" t="str">
        <f>("2000.")</f>
        <v>2000.</v>
      </c>
      <c r="AT474" t="str">
        <f t="shared" si="195"/>
        <v>catc</v>
      </c>
    </row>
    <row r="475" spans="1:46" x14ac:dyDescent="0.25">
      <c r="A475">
        <v>464</v>
      </c>
      <c r="B475" t="str">
        <f>("288454")</f>
        <v>288454</v>
      </c>
      <c r="C475" t="str">
        <f>("W00002500")</f>
        <v>W00002500</v>
      </c>
      <c r="D475" t="str">
        <f>("Entrepreneurial finance /")</f>
        <v>Entrepreneurial finance /</v>
      </c>
      <c r="E475" t="str">
        <f>("Smith, Richard L.")</f>
        <v>Smith, Richard L.</v>
      </c>
      <c r="F475" t="str">
        <f>("John Wiley,")</f>
        <v>John Wiley,</v>
      </c>
      <c r="H475" t="str">
        <f t="shared" si="201"/>
        <v>圖書 book</v>
      </c>
      <c r="I475" t="str">
        <f>("HD62.5 S643 2000")</f>
        <v>HD62.5 S643 2000</v>
      </c>
      <c r="J475" t="str">
        <f>("0471322873")</f>
        <v>0471322873</v>
      </c>
      <c r="K475" t="str">
        <f>("1272")</f>
        <v>1272</v>
      </c>
      <c r="L475" t="str">
        <f t="shared" si="196"/>
        <v>2001/10/10 00:00:00</v>
      </c>
      <c r="M475" t="str">
        <f>("2018/08/11 13:33:01")</f>
        <v>2018/08/11 13:33:01</v>
      </c>
      <c r="N475" t="str">
        <f>("2000")</f>
        <v>2000</v>
      </c>
      <c r="O475" t="str">
        <f>("4F西文書庫 4F Western Language Books")</f>
        <v>4F西文書庫 4F Western Language Books</v>
      </c>
      <c r="P475" t="s">
        <v>64</v>
      </c>
      <c r="S475" t="str">
        <f>("xviii, 638 p. :")</f>
        <v>xviii, 638 p. :</v>
      </c>
      <c r="T475" t="str">
        <f>("ill. (some col.) ;")</f>
        <v>ill. (some col.) ;</v>
      </c>
      <c r="U475" t="str">
        <f>("25 cm ")</f>
        <v xml:space="preserve">25 cm </v>
      </c>
      <c r="W475" t="str">
        <f t="shared" si="190"/>
        <v>美國國會圖書分類法</v>
      </c>
      <c r="Y475" t="str">
        <f>("HD62.5")</f>
        <v>HD62.5</v>
      </c>
      <c r="Z475" t="str">
        <f>("2018/08/11 13:33:01")</f>
        <v>2018/08/11 13:33:01</v>
      </c>
      <c r="AA475" t="str">
        <f t="shared" si="193"/>
        <v>catc</v>
      </c>
      <c r="AC475" t="str">
        <f>("S643")</f>
        <v>S643</v>
      </c>
      <c r="AE475" t="str">
        <f>("c.1")</f>
        <v>c.1</v>
      </c>
      <c r="AF475" t="str">
        <f>("1.可借圖書")</f>
        <v>1.可借圖書</v>
      </c>
      <c r="AG475" t="str">
        <f>("在架")</f>
        <v>在架</v>
      </c>
      <c r="AI475" t="s">
        <v>65</v>
      </c>
      <c r="AK475" t="str">
        <f t="shared" si="194"/>
        <v>一般(Normal)</v>
      </c>
      <c r="AO475" t="s">
        <v>65</v>
      </c>
      <c r="AS475" t="str">
        <f>("c2000 ")</f>
        <v xml:space="preserve">c2000 </v>
      </c>
      <c r="AT475" t="str">
        <f t="shared" si="195"/>
        <v>catc</v>
      </c>
    </row>
    <row r="476" spans="1:46" x14ac:dyDescent="0.25">
      <c r="A476">
        <v>465</v>
      </c>
      <c r="B476" t="str">
        <f>("287644")</f>
        <v>287644</v>
      </c>
      <c r="C476" t="str">
        <f>("W00002501")</f>
        <v>W00002501</v>
      </c>
      <c r="D476" t="str">
        <f>("Principles of money, banking, and financial markets /")</f>
        <v>Principles of money, banking, and financial markets /</v>
      </c>
      <c r="E476" t="str">
        <f>("Ritter, Lawrence S. ")</f>
        <v xml:space="preserve">Ritter, Lawrence S. </v>
      </c>
      <c r="F476" t="str">
        <f>("Addison-Wesley,")</f>
        <v>Addison-Wesley,</v>
      </c>
      <c r="G476" t="str">
        <f>("10th ed. ")</f>
        <v xml:space="preserve">10th ed. </v>
      </c>
      <c r="H476" t="str">
        <f t="shared" si="201"/>
        <v>圖書 book</v>
      </c>
      <c r="I476" t="str">
        <f>("HG221 R614 2000")</f>
        <v>HG221 R614 2000</v>
      </c>
      <c r="J476" t="str">
        <f>("0321020200")</f>
        <v>0321020200</v>
      </c>
      <c r="K476" t="str">
        <f>("1224")</f>
        <v>1224</v>
      </c>
      <c r="L476" t="str">
        <f t="shared" si="196"/>
        <v>2001/10/10 00:00:00</v>
      </c>
      <c r="M476" t="str">
        <f>("2018/08/11 13:31:38")</f>
        <v>2018/08/11 13:31:38</v>
      </c>
      <c r="N476" t="str">
        <f>("2000")</f>
        <v>2000</v>
      </c>
      <c r="O476" t="str">
        <f>("4F西文書庫 4F Western Language Books")</f>
        <v>4F西文書庫 4F Western Language Books</v>
      </c>
      <c r="P476" t="s">
        <v>64</v>
      </c>
      <c r="W476" t="str">
        <f t="shared" si="190"/>
        <v>美國國會圖書分類法</v>
      </c>
      <c r="Y476" t="str">
        <f>("HG221")</f>
        <v>HG221</v>
      </c>
      <c r="Z476" t="str">
        <f>("2018/08/11 13:31:38")</f>
        <v>2018/08/11 13:31:38</v>
      </c>
      <c r="AA476" t="str">
        <f t="shared" si="193"/>
        <v>catc</v>
      </c>
      <c r="AC476" t="str">
        <f>("R614")</f>
        <v>R614</v>
      </c>
      <c r="AE476" t="str">
        <f>("c.1")</f>
        <v>c.1</v>
      </c>
      <c r="AF476" t="str">
        <f>("1.可借圖書")</f>
        <v>1.可借圖書</v>
      </c>
      <c r="AG476" t="str">
        <f>("在架")</f>
        <v>在架</v>
      </c>
      <c r="AI476" t="s">
        <v>65</v>
      </c>
      <c r="AK476" t="str">
        <f t="shared" si="194"/>
        <v>一般(Normal)</v>
      </c>
      <c r="AO476" t="s">
        <v>65</v>
      </c>
      <c r="AS476" t="str">
        <f>("c2000. ")</f>
        <v xml:space="preserve">c2000. </v>
      </c>
      <c r="AT476" t="str">
        <f t="shared" si="195"/>
        <v>catc</v>
      </c>
    </row>
    <row r="477" spans="1:46" x14ac:dyDescent="0.25">
      <c r="A477">
        <v>466</v>
      </c>
      <c r="B477" t="str">
        <f>("289350")</f>
        <v>289350</v>
      </c>
      <c r="C477" t="str">
        <f>("W00002502")</f>
        <v>W00002502</v>
      </c>
      <c r="D477" t="str">
        <f>("International management :concepts &amp; cases /")</f>
        <v>International management :concepts &amp; cases /</v>
      </c>
      <c r="E477" t="str">
        <f>("Phatak, Arvind V. ")</f>
        <v xml:space="preserve">Phatak, Arvind V. </v>
      </c>
      <c r="F477" t="str">
        <f>("South-Western College Pub.,")</f>
        <v>South-Western College Pub.,</v>
      </c>
      <c r="H477" t="str">
        <f t="shared" si="201"/>
        <v>圖書 book</v>
      </c>
      <c r="I477" t="str">
        <f>("HD62.4 P536 1997 c.2")</f>
        <v>HD62.4 P536 1997 c.2</v>
      </c>
      <c r="J477" t="str">
        <f>("0538854154")</f>
        <v>0538854154</v>
      </c>
      <c r="K477" t="str">
        <f>("1056")</f>
        <v>1056</v>
      </c>
      <c r="L477" t="str">
        <f t="shared" si="196"/>
        <v>2001/10/10 00:00:00</v>
      </c>
      <c r="M477" t="str">
        <f>("2018/08/11 13:34:26")</f>
        <v>2018/08/11 13:34:26</v>
      </c>
      <c r="N477" t="str">
        <f>("1997")</f>
        <v>1997</v>
      </c>
      <c r="O477" t="str">
        <f>("罕用書庫1-洽櫃台填單 Upon-Request Collection1 fil")</f>
        <v>罕用書庫1-洽櫃台填單 Upon-Request Collection1 fil</v>
      </c>
      <c r="P477" t="s">
        <v>64</v>
      </c>
      <c r="S477" t="str">
        <f>("xxii, 522 p. :")</f>
        <v>xxii, 522 p. :</v>
      </c>
      <c r="T477" t="str">
        <f>("ill., maps ;")</f>
        <v>ill., maps ;</v>
      </c>
      <c r="U477" t="str">
        <f>("24 cm. ")</f>
        <v xml:space="preserve">24 cm. </v>
      </c>
      <c r="W477" t="str">
        <f t="shared" si="190"/>
        <v>美國國會圖書分類法</v>
      </c>
      <c r="Y477" t="str">
        <f>("HD62.4")</f>
        <v>HD62.4</v>
      </c>
      <c r="Z477" t="str">
        <f>("2018/08/11 13:34:26")</f>
        <v>2018/08/11 13:34:26</v>
      </c>
      <c r="AA477" t="str">
        <f t="shared" si="193"/>
        <v>catc</v>
      </c>
      <c r="AC477" t="str">
        <f>("P536")</f>
        <v>P536</v>
      </c>
      <c r="AE477" t="str">
        <f>("c.2")</f>
        <v>c.2</v>
      </c>
      <c r="AF477" t="str">
        <f>("不流通")</f>
        <v>不流通</v>
      </c>
      <c r="AG477" t="str">
        <f>("報銷中")</f>
        <v>報銷中</v>
      </c>
      <c r="AI477" t="s">
        <v>65</v>
      </c>
      <c r="AK477" t="str">
        <f t="shared" si="194"/>
        <v>一般(Normal)</v>
      </c>
      <c r="AO477" t="s">
        <v>65</v>
      </c>
      <c r="AS477" t="str">
        <f>("c1997. ")</f>
        <v xml:space="preserve">c1997. </v>
      </c>
      <c r="AT477" t="str">
        <f t="shared" si="195"/>
        <v>catc</v>
      </c>
    </row>
    <row r="478" spans="1:46" x14ac:dyDescent="0.25">
      <c r="A478">
        <v>467</v>
      </c>
      <c r="B478" t="str">
        <f>("288683")</f>
        <v>288683</v>
      </c>
      <c r="C478" t="str">
        <f>("W00002503")</f>
        <v>W00002503</v>
      </c>
      <c r="D478" t="str">
        <f>("International money and finance / ")</f>
        <v xml:space="preserve">International money and finance / </v>
      </c>
      <c r="E478" t="str">
        <f>("Melvin, Michael, 1948- ")</f>
        <v xml:space="preserve">Melvin, Michael, 1948- </v>
      </c>
      <c r="F478" t="str">
        <f>("Addison-Wesley, ")</f>
        <v xml:space="preserve">Addison-Wesley, </v>
      </c>
      <c r="G478" t="str">
        <f>("6th ed. ")</f>
        <v xml:space="preserve">6th ed. </v>
      </c>
      <c r="H478" t="str">
        <f t="shared" si="201"/>
        <v>圖書 book</v>
      </c>
      <c r="I478" t="str">
        <f>("HG3881 M531-2 2000")</f>
        <v>HG3881 M531-2 2000</v>
      </c>
      <c r="J478" t="str">
        <f>("0321050517")</f>
        <v>0321050517</v>
      </c>
      <c r="K478" t="str">
        <f>("1080")</f>
        <v>1080</v>
      </c>
      <c r="L478" t="str">
        <f t="shared" si="196"/>
        <v>2001/10/10 00:00:00</v>
      </c>
      <c r="M478" t="str">
        <f>("2018/08/11 13:33:21")</f>
        <v>2018/08/11 13:33:21</v>
      </c>
      <c r="N478" t="str">
        <f>("2000")</f>
        <v>2000</v>
      </c>
      <c r="O478" t="str">
        <f t="shared" ref="O478:O487" si="202">("4F西文書庫 4F Western Language Books")</f>
        <v>4F西文書庫 4F Western Language Books</v>
      </c>
      <c r="P478" t="s">
        <v>64</v>
      </c>
      <c r="S478" t="str">
        <f>("xvi, 269 p. : ")</f>
        <v xml:space="preserve">xvi, 269 p. : </v>
      </c>
      <c r="T478" t="str">
        <f>("ill. ; ")</f>
        <v xml:space="preserve">ill. ; </v>
      </c>
      <c r="U478" t="str">
        <f>("24 cm. ")</f>
        <v xml:space="preserve">24 cm. </v>
      </c>
      <c r="W478" t="str">
        <f t="shared" si="190"/>
        <v>美國國會圖書分類法</v>
      </c>
      <c r="Y478" t="str">
        <f>("HG3881")</f>
        <v>HG3881</v>
      </c>
      <c r="Z478" t="str">
        <f>("2018/08/11 13:33:21")</f>
        <v>2018/08/11 13:33:21</v>
      </c>
      <c r="AA478" t="str">
        <f t="shared" si="193"/>
        <v>catc</v>
      </c>
      <c r="AC478" t="str">
        <f>("M531-2")</f>
        <v>M531-2</v>
      </c>
      <c r="AE478" t="str">
        <f>("c.1")</f>
        <v>c.1</v>
      </c>
      <c r="AF478" t="str">
        <f t="shared" ref="AF478:AF487" si="203">("1.可借圖書")</f>
        <v>1.可借圖書</v>
      </c>
      <c r="AG478" t="str">
        <f t="shared" ref="AG478:AG487" si="204">("在架")</f>
        <v>在架</v>
      </c>
      <c r="AI478" t="s">
        <v>65</v>
      </c>
      <c r="AK478" t="str">
        <f t="shared" si="194"/>
        <v>一般(Normal)</v>
      </c>
      <c r="AO478" t="s">
        <v>65</v>
      </c>
      <c r="AS478" t="str">
        <f>("c2000. ")</f>
        <v xml:space="preserve">c2000. </v>
      </c>
      <c r="AT478" t="str">
        <f t="shared" si="195"/>
        <v>catc</v>
      </c>
    </row>
    <row r="479" spans="1:46" x14ac:dyDescent="0.25">
      <c r="A479">
        <v>468</v>
      </c>
      <c r="B479" t="str">
        <f>("287902")</f>
        <v>287902</v>
      </c>
      <c r="C479" t="str">
        <f>("W00002504")</f>
        <v>W00002504</v>
      </c>
      <c r="D479" t="str">
        <f>("Strategy and the business landscape :text and cases /")</f>
        <v>Strategy and the business landscape :text and cases /</v>
      </c>
      <c r="E479" t="str">
        <f>("Ghemawat, Pankaj ")</f>
        <v xml:space="preserve">Ghemawat, Pankaj </v>
      </c>
      <c r="F479" t="str">
        <f>("Addison-Wesley,")</f>
        <v>Addison-Wesley,</v>
      </c>
      <c r="H479" t="str">
        <f t="shared" si="201"/>
        <v>圖書 book</v>
      </c>
      <c r="I479" t="str">
        <f>("HD30.28 G412 1999")</f>
        <v>HD30.28 G412 1999</v>
      </c>
      <c r="J479" t="str">
        <f>("0201357291")</f>
        <v>0201357291</v>
      </c>
      <c r="K479" t="str">
        <f>("1176")</f>
        <v>1176</v>
      </c>
      <c r="L479" t="str">
        <f t="shared" si="196"/>
        <v>2001/10/10 00:00:00</v>
      </c>
      <c r="M479" t="str">
        <f>("2018/08/11 13:32:03")</f>
        <v>2018/08/11 13:32:03</v>
      </c>
      <c r="N479" t="str">
        <f>("1999")</f>
        <v>1999</v>
      </c>
      <c r="O479" t="str">
        <f t="shared" si="202"/>
        <v>4F西文書庫 4F Western Language Books</v>
      </c>
      <c r="P479" t="s">
        <v>64</v>
      </c>
      <c r="S479" t="str">
        <f>("1 v. (various pagings) :")</f>
        <v>1 v. (various pagings) :</v>
      </c>
      <c r="T479" t="str">
        <f>("ill. ;")</f>
        <v>ill. ;</v>
      </c>
      <c r="U479" t="str">
        <f>("25 cm ")</f>
        <v xml:space="preserve">25 cm </v>
      </c>
      <c r="W479" t="str">
        <f t="shared" si="190"/>
        <v>美國國會圖書分類法</v>
      </c>
      <c r="Y479" t="str">
        <f>("HD30.28")</f>
        <v>HD30.28</v>
      </c>
      <c r="Z479" t="str">
        <f>("2018/08/11 13:32:03")</f>
        <v>2018/08/11 13:32:03</v>
      </c>
      <c r="AA479" t="str">
        <f t="shared" si="193"/>
        <v>catc</v>
      </c>
      <c r="AC479" t="str">
        <f>("G412")</f>
        <v>G412</v>
      </c>
      <c r="AE479" t="str">
        <f>("c.1")</f>
        <v>c.1</v>
      </c>
      <c r="AF479" t="str">
        <f t="shared" si="203"/>
        <v>1.可借圖書</v>
      </c>
      <c r="AG479" t="str">
        <f t="shared" si="204"/>
        <v>在架</v>
      </c>
      <c r="AI479" t="s">
        <v>65</v>
      </c>
      <c r="AK479" t="str">
        <f t="shared" si="194"/>
        <v>一般(Normal)</v>
      </c>
      <c r="AO479" t="s">
        <v>65</v>
      </c>
      <c r="AS479" t="str">
        <f>("c1999 ")</f>
        <v xml:space="preserve">c1999 </v>
      </c>
      <c r="AT479" t="str">
        <f t="shared" si="195"/>
        <v>catc</v>
      </c>
    </row>
    <row r="480" spans="1:46" x14ac:dyDescent="0.25">
      <c r="A480">
        <v>469</v>
      </c>
      <c r="B480" t="str">
        <f>("288055")</f>
        <v>288055</v>
      </c>
      <c r="C480" t="str">
        <f>("W00002505")</f>
        <v>W00002505</v>
      </c>
      <c r="D480" t="str">
        <f>("Brief applied calculus.  / ")</f>
        <v xml:space="preserve">Brief applied calculus.  / </v>
      </c>
      <c r="E480" t="str">
        <f>("Berresford, Geoffrey C., 1944- ")</f>
        <v xml:space="preserve">Berresford, Geoffrey C., 1944- </v>
      </c>
      <c r="F480" t="str">
        <f>("Houghton Mifflin, ")</f>
        <v xml:space="preserve">Houghton Mifflin, </v>
      </c>
      <c r="G480" t="str">
        <f>("2nd ed. ")</f>
        <v xml:space="preserve">2nd ed. </v>
      </c>
      <c r="H480" t="str">
        <f t="shared" si="201"/>
        <v>圖書 book</v>
      </c>
      <c r="I480" t="str">
        <f>("QA303 B533 2000")</f>
        <v>QA303 B533 2000</v>
      </c>
      <c r="J480" t="str">
        <f>("0395978181")</f>
        <v>0395978181</v>
      </c>
      <c r="K480" t="str">
        <f>("1176")</f>
        <v>1176</v>
      </c>
      <c r="L480" t="str">
        <f t="shared" si="196"/>
        <v>2001/10/10 00:00:00</v>
      </c>
      <c r="M480" t="str">
        <f>("2018/08/11 13:32:21")</f>
        <v>2018/08/11 13:32:21</v>
      </c>
      <c r="N480" t="str">
        <f>("2000")</f>
        <v>2000</v>
      </c>
      <c r="O480" t="str">
        <f t="shared" si="202"/>
        <v>4F西文書庫 4F Western Language Books</v>
      </c>
      <c r="P480" t="s">
        <v>64</v>
      </c>
      <c r="S480" t="str">
        <f>("1 v. (various pagings) : ")</f>
        <v xml:space="preserve">1 v. (various pagings) : </v>
      </c>
      <c r="T480" t="str">
        <f>("ill. (some col.) ; ")</f>
        <v xml:space="preserve">ill. (some col.) ; </v>
      </c>
      <c r="U480" t="str">
        <f>("24 cm. ")</f>
        <v xml:space="preserve">24 cm. </v>
      </c>
      <c r="W480" t="str">
        <f t="shared" si="190"/>
        <v>美國國會圖書分類法</v>
      </c>
      <c r="Y480" t="str">
        <f>("QA303")</f>
        <v>QA303</v>
      </c>
      <c r="Z480" t="str">
        <f>("2018/08/11 13:32:21")</f>
        <v>2018/08/11 13:32:21</v>
      </c>
      <c r="AA480" t="str">
        <f t="shared" si="193"/>
        <v>catc</v>
      </c>
      <c r="AC480" t="str">
        <f>("B533")</f>
        <v>B533</v>
      </c>
      <c r="AE480" t="str">
        <f>("c.1")</f>
        <v>c.1</v>
      </c>
      <c r="AF480" t="str">
        <f t="shared" si="203"/>
        <v>1.可借圖書</v>
      </c>
      <c r="AG480" t="str">
        <f t="shared" si="204"/>
        <v>在架</v>
      </c>
      <c r="AI480" t="s">
        <v>65</v>
      </c>
      <c r="AK480" t="str">
        <f t="shared" si="194"/>
        <v>一般(Normal)</v>
      </c>
      <c r="AO480" t="s">
        <v>65</v>
      </c>
      <c r="AS480" t="str">
        <f>("c2000. ")</f>
        <v xml:space="preserve">c2000. </v>
      </c>
      <c r="AT480" t="str">
        <f t="shared" si="195"/>
        <v>catc</v>
      </c>
    </row>
    <row r="481" spans="1:46" x14ac:dyDescent="0.25">
      <c r="A481">
        <v>470</v>
      </c>
      <c r="B481" t="str">
        <f>("287625")</f>
        <v>287625</v>
      </c>
      <c r="C481" t="str">
        <f>("W00002506")</f>
        <v>W00002506</v>
      </c>
      <c r="D481" t="str">
        <f>("Portfolio construction, management, and protection / ")</f>
        <v xml:space="preserve">Portfolio construction, management, and protection / </v>
      </c>
      <c r="E481" t="str">
        <f>("Strong, Robert A. ")</f>
        <v xml:space="preserve">Strong, Robert A. </v>
      </c>
      <c r="F481" t="str">
        <f>("South Western College Pub., ")</f>
        <v xml:space="preserve">South Western College Pub., </v>
      </c>
      <c r="G481" t="str">
        <f>("2nd ed. ")</f>
        <v xml:space="preserve">2nd ed. </v>
      </c>
      <c r="H481" t="str">
        <f t="shared" si="201"/>
        <v>圖書 book</v>
      </c>
      <c r="I481" t="str">
        <f>("HG4529.5 S923 2000")</f>
        <v>HG4529.5 S923 2000</v>
      </c>
      <c r="J481" t="str">
        <f>("0324006195")</f>
        <v>0324006195</v>
      </c>
      <c r="K481" t="str">
        <f>("1152")</f>
        <v>1152</v>
      </c>
      <c r="L481" t="str">
        <f t="shared" si="196"/>
        <v>2001/10/10 00:00:00</v>
      </c>
      <c r="M481" t="str">
        <f>("2018/08/11 13:31:35")</f>
        <v>2018/08/11 13:31:35</v>
      </c>
      <c r="N481" t="str">
        <f>("2000")</f>
        <v>2000</v>
      </c>
      <c r="O481" t="str">
        <f t="shared" si="202"/>
        <v>4F西文書庫 4F Western Language Books</v>
      </c>
      <c r="P481" t="s">
        <v>64</v>
      </c>
      <c r="S481" t="str">
        <f>("xxi, 601 p. : ")</f>
        <v xml:space="preserve">xxi, 601 p. : </v>
      </c>
      <c r="T481" t="str">
        <f>("ill. ; ")</f>
        <v xml:space="preserve">ill. ; </v>
      </c>
      <c r="U481" t="str">
        <f>("26 cm. ")</f>
        <v xml:space="preserve">26 cm. </v>
      </c>
      <c r="W481" t="str">
        <f t="shared" si="190"/>
        <v>美國國會圖書分類法</v>
      </c>
      <c r="Y481" t="str">
        <f>("HG4529.5")</f>
        <v>HG4529.5</v>
      </c>
      <c r="Z481" t="str">
        <f>("2018/08/11 13:31:35")</f>
        <v>2018/08/11 13:31:35</v>
      </c>
      <c r="AA481" t="str">
        <f t="shared" si="193"/>
        <v>catc</v>
      </c>
      <c r="AC481" t="str">
        <f>("S923")</f>
        <v>S923</v>
      </c>
      <c r="AE481" t="str">
        <f>("c.1")</f>
        <v>c.1</v>
      </c>
      <c r="AF481" t="str">
        <f t="shared" si="203"/>
        <v>1.可借圖書</v>
      </c>
      <c r="AG481" t="str">
        <f t="shared" si="204"/>
        <v>在架</v>
      </c>
      <c r="AI481" t="s">
        <v>65</v>
      </c>
      <c r="AK481" t="str">
        <f t="shared" si="194"/>
        <v>一般(Normal)</v>
      </c>
      <c r="AO481" t="s">
        <v>65</v>
      </c>
      <c r="AS481" t="str">
        <f>("2000. ")</f>
        <v xml:space="preserve">2000. </v>
      </c>
      <c r="AT481" t="str">
        <f t="shared" si="195"/>
        <v>catc</v>
      </c>
    </row>
    <row r="482" spans="1:46" x14ac:dyDescent="0.25">
      <c r="A482">
        <v>471</v>
      </c>
      <c r="B482" t="str">
        <f>("289361")</f>
        <v>289361</v>
      </c>
      <c r="C482" t="str">
        <f>("W00002507")</f>
        <v>W00002507</v>
      </c>
      <c r="D482" t="str">
        <f>("Human resource development / ")</f>
        <v xml:space="preserve">Human resource development / </v>
      </c>
      <c r="E482" t="str">
        <f>("DeSimone, Randy L. ")</f>
        <v xml:space="preserve">DeSimone, Randy L. </v>
      </c>
      <c r="F482" t="str">
        <f>("Dryden Press, ")</f>
        <v xml:space="preserve">Dryden Press, </v>
      </c>
      <c r="G482" t="str">
        <f>("2nd ed. ")</f>
        <v xml:space="preserve">2nd ed. </v>
      </c>
      <c r="H482" t="str">
        <f t="shared" si="201"/>
        <v>圖書 book</v>
      </c>
      <c r="I482" t="str">
        <f>("HF5549 D457 1998")</f>
        <v>HF5549 D457 1998</v>
      </c>
      <c r="J482" t="str">
        <f>("0030246121")</f>
        <v>0030246121</v>
      </c>
      <c r="K482" t="str">
        <f>("1032")</f>
        <v>1032</v>
      </c>
      <c r="L482" t="str">
        <f t="shared" si="196"/>
        <v>2001/10/10 00:00:00</v>
      </c>
      <c r="M482" t="str">
        <f>("2018/08/11 13:34:26")</f>
        <v>2018/08/11 13:34:26</v>
      </c>
      <c r="N482" t="str">
        <f>("1998")</f>
        <v>1998</v>
      </c>
      <c r="O482" t="str">
        <f t="shared" si="202"/>
        <v>4F西文書庫 4F Western Language Books</v>
      </c>
      <c r="P482" t="s">
        <v>64</v>
      </c>
      <c r="W482" t="str">
        <f t="shared" si="190"/>
        <v>美國國會圖書分類法</v>
      </c>
      <c r="Y482" t="str">
        <f>("HF5549")</f>
        <v>HF5549</v>
      </c>
      <c r="Z482" t="str">
        <f>("2018/08/11 13:34:26")</f>
        <v>2018/08/11 13:34:26</v>
      </c>
      <c r="AA482" t="str">
        <f t="shared" si="193"/>
        <v>catc</v>
      </c>
      <c r="AC482" t="str">
        <f>("D457")</f>
        <v>D457</v>
      </c>
      <c r="AE482" t="str">
        <f>("c.1")</f>
        <v>c.1</v>
      </c>
      <c r="AF482" t="str">
        <f t="shared" si="203"/>
        <v>1.可借圖書</v>
      </c>
      <c r="AG482" t="str">
        <f t="shared" si="204"/>
        <v>在架</v>
      </c>
      <c r="AI482" t="s">
        <v>65</v>
      </c>
      <c r="AK482" t="str">
        <f t="shared" si="194"/>
        <v>一般(Normal)</v>
      </c>
      <c r="AO482" t="s">
        <v>65</v>
      </c>
      <c r="AS482" t="str">
        <f>("c1998. ")</f>
        <v xml:space="preserve">c1998. </v>
      </c>
      <c r="AT482" t="str">
        <f t="shared" si="195"/>
        <v>catc</v>
      </c>
    </row>
    <row r="483" spans="1:46" x14ac:dyDescent="0.25">
      <c r="A483">
        <v>472</v>
      </c>
      <c r="B483" t="str">
        <f>("287625")</f>
        <v>287625</v>
      </c>
      <c r="C483" t="str">
        <f>("W00002508")</f>
        <v>W00002508</v>
      </c>
      <c r="D483" t="str">
        <f>("Portfolio construction, management, and protection / ")</f>
        <v xml:space="preserve">Portfolio construction, management, and protection / </v>
      </c>
      <c r="E483" t="str">
        <f>("Strong, Robert A. ")</f>
        <v xml:space="preserve">Strong, Robert A. </v>
      </c>
      <c r="F483" t="str">
        <f>("South Western College Pub., ")</f>
        <v xml:space="preserve">South Western College Pub., </v>
      </c>
      <c r="G483" t="str">
        <f>("2nd ed. ")</f>
        <v xml:space="preserve">2nd ed. </v>
      </c>
      <c r="H483" t="str">
        <f t="shared" si="201"/>
        <v>圖書 book</v>
      </c>
      <c r="I483" t="str">
        <f>("HG4529.5 S923 2000 c.2")</f>
        <v>HG4529.5 S923 2000 c.2</v>
      </c>
      <c r="J483" t="str">
        <f>("0324006195")</f>
        <v>0324006195</v>
      </c>
      <c r="K483" t="str">
        <f>("1152")</f>
        <v>1152</v>
      </c>
      <c r="L483" t="str">
        <f t="shared" si="196"/>
        <v>2001/10/10 00:00:00</v>
      </c>
      <c r="M483" t="str">
        <f>("2018/08/11 13:31:35")</f>
        <v>2018/08/11 13:31:35</v>
      </c>
      <c r="N483" t="str">
        <f>("2000")</f>
        <v>2000</v>
      </c>
      <c r="O483" t="str">
        <f t="shared" si="202"/>
        <v>4F西文書庫 4F Western Language Books</v>
      </c>
      <c r="P483" t="s">
        <v>64</v>
      </c>
      <c r="S483" t="str">
        <f>("xxi, 601 p. : ")</f>
        <v xml:space="preserve">xxi, 601 p. : </v>
      </c>
      <c r="T483" t="str">
        <f>("ill. ; ")</f>
        <v xml:space="preserve">ill. ; </v>
      </c>
      <c r="U483" t="str">
        <f>("26 cm. ")</f>
        <v xml:space="preserve">26 cm. </v>
      </c>
      <c r="W483" t="str">
        <f t="shared" si="190"/>
        <v>美國國會圖書分類法</v>
      </c>
      <c r="Y483" t="str">
        <f>("HG4529.5")</f>
        <v>HG4529.5</v>
      </c>
      <c r="Z483" t="str">
        <f>("2018/08/11 13:31:35")</f>
        <v>2018/08/11 13:31:35</v>
      </c>
      <c r="AA483" t="str">
        <f t="shared" si="193"/>
        <v>catc</v>
      </c>
      <c r="AC483" t="str">
        <f>("S923")</f>
        <v>S923</v>
      </c>
      <c r="AE483" t="str">
        <f>("c.2")</f>
        <v>c.2</v>
      </c>
      <c r="AF483" t="str">
        <f t="shared" si="203"/>
        <v>1.可借圖書</v>
      </c>
      <c r="AG483" t="str">
        <f t="shared" si="204"/>
        <v>在架</v>
      </c>
      <c r="AI483" t="s">
        <v>65</v>
      </c>
      <c r="AK483" t="str">
        <f t="shared" si="194"/>
        <v>一般(Normal)</v>
      </c>
      <c r="AO483" t="s">
        <v>65</v>
      </c>
      <c r="AS483" t="str">
        <f>("2000. ")</f>
        <v xml:space="preserve">2000. </v>
      </c>
      <c r="AT483" t="str">
        <f t="shared" si="195"/>
        <v>catc</v>
      </c>
    </row>
    <row r="484" spans="1:46" x14ac:dyDescent="0.25">
      <c r="A484">
        <v>473</v>
      </c>
      <c r="B484" t="str">
        <f>("287904")</f>
        <v>287904</v>
      </c>
      <c r="C484" t="str">
        <f>("W00002509")</f>
        <v>W00002509</v>
      </c>
      <c r="D484" t="str">
        <f>("Principles of internet marketing / ")</f>
        <v xml:space="preserve">Principles of internet marketing / </v>
      </c>
      <c r="E484" t="str">
        <f>("Hanson, Ward A. ")</f>
        <v xml:space="preserve">Hanson, Ward A. </v>
      </c>
      <c r="F484" t="str">
        <f>("South-Western College Pub., ")</f>
        <v xml:space="preserve">South-Western College Pub., </v>
      </c>
      <c r="H484" t="str">
        <f t="shared" si="201"/>
        <v>圖書 book</v>
      </c>
      <c r="I484" t="str">
        <f>("HF5415.1265 H251 2000")</f>
        <v>HF5415.1265 H251 2000</v>
      </c>
      <c r="J484" t="str">
        <f>("0538875739")</f>
        <v>0538875739</v>
      </c>
      <c r="K484" t="str">
        <f>("1176")</f>
        <v>1176</v>
      </c>
      <c r="L484" t="str">
        <f t="shared" si="196"/>
        <v>2001/10/10 00:00:00</v>
      </c>
      <c r="M484" t="str">
        <f>("2018/08/11 13:32:04")</f>
        <v>2018/08/11 13:32:04</v>
      </c>
      <c r="N484" t="str">
        <f>("2000")</f>
        <v>2000</v>
      </c>
      <c r="O484" t="str">
        <f t="shared" si="202"/>
        <v>4F西文書庫 4F Western Language Books</v>
      </c>
      <c r="P484" t="s">
        <v>64</v>
      </c>
      <c r="W484" t="str">
        <f t="shared" si="190"/>
        <v>美國國會圖書分類法</v>
      </c>
      <c r="Y484" t="str">
        <f>("HF5415.1265")</f>
        <v>HF5415.1265</v>
      </c>
      <c r="Z484" t="str">
        <f>("2018/08/11 13:32:04")</f>
        <v>2018/08/11 13:32:04</v>
      </c>
      <c r="AA484" t="str">
        <f t="shared" si="193"/>
        <v>catc</v>
      </c>
      <c r="AC484" t="str">
        <f>("H251")</f>
        <v>H251</v>
      </c>
      <c r="AE484" t="str">
        <f>("c.1")</f>
        <v>c.1</v>
      </c>
      <c r="AF484" t="str">
        <f t="shared" si="203"/>
        <v>1.可借圖書</v>
      </c>
      <c r="AG484" t="str">
        <f t="shared" si="204"/>
        <v>在架</v>
      </c>
      <c r="AI484" t="s">
        <v>65</v>
      </c>
      <c r="AK484" t="str">
        <f t="shared" si="194"/>
        <v>一般(Normal)</v>
      </c>
      <c r="AO484" t="s">
        <v>65</v>
      </c>
      <c r="AS484" t="str">
        <f>("c2000. ")</f>
        <v xml:space="preserve">c2000. </v>
      </c>
      <c r="AT484" t="str">
        <f t="shared" si="195"/>
        <v>catc</v>
      </c>
    </row>
    <row r="485" spans="1:46" x14ac:dyDescent="0.25">
      <c r="A485">
        <v>474</v>
      </c>
      <c r="B485" t="str">
        <f>("289362")</f>
        <v>289362</v>
      </c>
      <c r="C485" t="str">
        <f>("W00002510")</f>
        <v>W00002510</v>
      </c>
      <c r="D485" t="str">
        <f>("Managing technological innovation : competitive advantage from change / ")</f>
        <v xml:space="preserve">Managing technological innovation : competitive advantage from change / </v>
      </c>
      <c r="E485" t="str">
        <f>("Betz, Frederick, 1937- ")</f>
        <v xml:space="preserve">Betz, Frederick, 1937- </v>
      </c>
      <c r="F485" t="str">
        <f>("Wiley, ")</f>
        <v xml:space="preserve">Wiley, </v>
      </c>
      <c r="H485" t="str">
        <f t="shared" si="201"/>
        <v>圖書 book</v>
      </c>
      <c r="I485" t="str">
        <f>("HD45 B562 1998")</f>
        <v>HD45 B562 1998</v>
      </c>
      <c r="J485" t="str">
        <f>("0471173800")</f>
        <v>0471173800</v>
      </c>
      <c r="K485" t="str">
        <f>("1080")</f>
        <v>1080</v>
      </c>
      <c r="L485" t="str">
        <f t="shared" si="196"/>
        <v>2001/10/10 00:00:00</v>
      </c>
      <c r="M485" t="str">
        <f>("2018/08/11 13:34:26")</f>
        <v>2018/08/11 13:34:26</v>
      </c>
      <c r="N485" t="str">
        <f>("1998")</f>
        <v>1998</v>
      </c>
      <c r="O485" t="str">
        <f t="shared" si="202"/>
        <v>4F西文書庫 4F Western Language Books</v>
      </c>
      <c r="P485" t="s">
        <v>64</v>
      </c>
      <c r="W485" t="str">
        <f t="shared" si="190"/>
        <v>美國國會圖書分類法</v>
      </c>
      <c r="Y485" t="str">
        <f>("HD45")</f>
        <v>HD45</v>
      </c>
      <c r="Z485" t="str">
        <f>("2018/08/11 13:34:26")</f>
        <v>2018/08/11 13:34:26</v>
      </c>
      <c r="AA485" t="str">
        <f t="shared" si="193"/>
        <v>catc</v>
      </c>
      <c r="AC485" t="str">
        <f>("B562")</f>
        <v>B562</v>
      </c>
      <c r="AE485" t="str">
        <f>("c.1")</f>
        <v>c.1</v>
      </c>
      <c r="AF485" t="str">
        <f t="shared" si="203"/>
        <v>1.可借圖書</v>
      </c>
      <c r="AG485" t="str">
        <f t="shared" si="204"/>
        <v>在架</v>
      </c>
      <c r="AI485" t="s">
        <v>65</v>
      </c>
      <c r="AK485" t="str">
        <f t="shared" si="194"/>
        <v>一般(Normal)</v>
      </c>
      <c r="AO485" t="s">
        <v>65</v>
      </c>
      <c r="AS485" t="str">
        <f>("c1998. ")</f>
        <v xml:space="preserve">c1998. </v>
      </c>
      <c r="AT485" t="str">
        <f t="shared" si="195"/>
        <v>catc</v>
      </c>
    </row>
    <row r="486" spans="1:46" x14ac:dyDescent="0.25">
      <c r="A486">
        <v>475</v>
      </c>
      <c r="B486" t="str">
        <f>("289363")</f>
        <v>289363</v>
      </c>
      <c r="C486" t="str">
        <f>("W00002511")</f>
        <v>W00002511</v>
      </c>
      <c r="D486" t="str">
        <f>("Successful product development : speeding from opportunity to profit / ")</f>
        <v xml:space="preserve">Successful product development : speeding from opportunity to profit / </v>
      </c>
      <c r="E486" t="str">
        <f>("Rosenau, Milton D., 1931- ")</f>
        <v xml:space="preserve">Rosenau, Milton D., 1931- </v>
      </c>
      <c r="F486" t="str">
        <f>("J. Wiley, ")</f>
        <v xml:space="preserve">J. Wiley, </v>
      </c>
      <c r="H486" t="str">
        <f t="shared" si="201"/>
        <v>圖書 book</v>
      </c>
      <c r="I486" t="str">
        <f>("HF5415.153 R813 2000")</f>
        <v>HF5415.153 R813 2000</v>
      </c>
      <c r="J486" t="str">
        <f>("047131532X")</f>
        <v>047131532X</v>
      </c>
      <c r="K486" t="str">
        <f>("888")</f>
        <v>888</v>
      </c>
      <c r="L486" t="str">
        <f t="shared" si="196"/>
        <v>2001/10/10 00:00:00</v>
      </c>
      <c r="M486" t="str">
        <f>("2018/08/11 13:34:26")</f>
        <v>2018/08/11 13:34:26</v>
      </c>
      <c r="N486" t="str">
        <f>("2000")</f>
        <v>2000</v>
      </c>
      <c r="O486" t="str">
        <f t="shared" si="202"/>
        <v>4F西文書庫 4F Western Language Books</v>
      </c>
      <c r="P486" t="s">
        <v>64</v>
      </c>
      <c r="S486" t="str">
        <f>("xi, 151 p. : ")</f>
        <v xml:space="preserve">xi, 151 p. : </v>
      </c>
      <c r="T486" t="str">
        <f>("ill. ; ")</f>
        <v xml:space="preserve">ill. ; </v>
      </c>
      <c r="U486" t="str">
        <f>("24 cm. ")</f>
        <v xml:space="preserve">24 cm. </v>
      </c>
      <c r="W486" t="str">
        <f t="shared" si="190"/>
        <v>美國國會圖書分類法</v>
      </c>
      <c r="Y486" t="str">
        <f>("HF5415.153")</f>
        <v>HF5415.153</v>
      </c>
      <c r="Z486" t="str">
        <f>("2018/08/11 13:34:26")</f>
        <v>2018/08/11 13:34:26</v>
      </c>
      <c r="AA486" t="str">
        <f t="shared" si="193"/>
        <v>catc</v>
      </c>
      <c r="AC486" t="str">
        <f>("R813")</f>
        <v>R813</v>
      </c>
      <c r="AE486" t="str">
        <f>("c.1")</f>
        <v>c.1</v>
      </c>
      <c r="AF486" t="str">
        <f t="shared" si="203"/>
        <v>1.可借圖書</v>
      </c>
      <c r="AG486" t="str">
        <f t="shared" si="204"/>
        <v>在架</v>
      </c>
      <c r="AI486" t="s">
        <v>65</v>
      </c>
      <c r="AK486" t="str">
        <f t="shared" si="194"/>
        <v>一般(Normal)</v>
      </c>
      <c r="AO486" t="s">
        <v>65</v>
      </c>
      <c r="AS486" t="str">
        <f>("c2000. ")</f>
        <v xml:space="preserve">c2000. </v>
      </c>
      <c r="AT486" t="str">
        <f t="shared" si="195"/>
        <v>catc</v>
      </c>
    </row>
    <row r="487" spans="1:46" x14ac:dyDescent="0.25">
      <c r="A487">
        <v>476</v>
      </c>
      <c r="B487" t="str">
        <f>("287365")</f>
        <v>287365</v>
      </c>
      <c r="C487" t="str">
        <f>("W00002512")</f>
        <v>W00002512</v>
      </c>
      <c r="D487" t="str">
        <f>("The valuation of information technology :a guide for strategy development, valuation, and financial planning / ")</f>
        <v xml:space="preserve">The valuation of information technology :a guide for strategy development, valuation, and financial planning / </v>
      </c>
      <c r="E487" t="str">
        <f>("Gardner, Christopher,1957- ")</f>
        <v xml:space="preserve">Gardner, Christopher,1957- </v>
      </c>
      <c r="F487" t="str">
        <f>("Wiley,")</f>
        <v>Wiley,</v>
      </c>
      <c r="H487" t="str">
        <f t="shared" si="201"/>
        <v>圖書 book</v>
      </c>
      <c r="I487" t="str">
        <f>("HD30.2 G226 2000")</f>
        <v>HD30.2 G226 2000</v>
      </c>
      <c r="J487" t="str">
        <f>("0471378313")</f>
        <v>0471378313</v>
      </c>
      <c r="K487" t="str">
        <f>("1008")</f>
        <v>1008</v>
      </c>
      <c r="L487" t="str">
        <f t="shared" si="196"/>
        <v>2001/10/10 00:00:00</v>
      </c>
      <c r="M487" t="str">
        <f>("2018/08/11 13:31:03")</f>
        <v>2018/08/11 13:31:03</v>
      </c>
      <c r="N487" t="str">
        <f>("2000")</f>
        <v>2000</v>
      </c>
      <c r="O487" t="str">
        <f t="shared" si="202"/>
        <v>4F西文書庫 4F Western Language Books</v>
      </c>
      <c r="P487" t="s">
        <v>64</v>
      </c>
      <c r="S487" t="str">
        <f>("xx, 297 p. :")</f>
        <v>xx, 297 p. :</v>
      </c>
      <c r="T487" t="str">
        <f>("ill. ;")</f>
        <v>ill. ;</v>
      </c>
      <c r="U487" t="str">
        <f>("24 cm ")</f>
        <v xml:space="preserve">24 cm </v>
      </c>
      <c r="W487" t="str">
        <f t="shared" si="190"/>
        <v>美國國會圖書分類法</v>
      </c>
      <c r="Y487" t="str">
        <f>("HD30.2")</f>
        <v>HD30.2</v>
      </c>
      <c r="Z487" t="str">
        <f>("2018/08/11 13:31:03")</f>
        <v>2018/08/11 13:31:03</v>
      </c>
      <c r="AA487" t="str">
        <f t="shared" si="193"/>
        <v>catc</v>
      </c>
      <c r="AC487" t="str">
        <f>("G226")</f>
        <v>G226</v>
      </c>
      <c r="AE487" t="str">
        <f>("c.1")</f>
        <v>c.1</v>
      </c>
      <c r="AF487" t="str">
        <f t="shared" si="203"/>
        <v>1.可借圖書</v>
      </c>
      <c r="AG487" t="str">
        <f t="shared" si="204"/>
        <v>在架</v>
      </c>
      <c r="AI487" t="s">
        <v>65</v>
      </c>
      <c r="AK487" t="str">
        <f t="shared" si="194"/>
        <v>一般(Normal)</v>
      </c>
      <c r="AO487" t="s">
        <v>65</v>
      </c>
      <c r="AS487" t="str">
        <f>("c2000 ")</f>
        <v xml:space="preserve">c2000 </v>
      </c>
      <c r="AT487" t="str">
        <f t="shared" si="195"/>
        <v>catc</v>
      </c>
    </row>
    <row r="488" spans="1:46" x14ac:dyDescent="0.25">
      <c r="A488">
        <v>477</v>
      </c>
      <c r="B488" t="str">
        <f>("288057")</f>
        <v>288057</v>
      </c>
      <c r="C488" t="str">
        <f>("W00002513")</f>
        <v>W00002513</v>
      </c>
      <c r="D488" t="str">
        <f>("Experiments : planning, analysis, and parameter design optimization / ")</f>
        <v xml:space="preserve">Experiments : planning, analysis, and parameter design optimization / </v>
      </c>
      <c r="E488" t="str">
        <f>("Wu, Chien-Fu. ")</f>
        <v xml:space="preserve">Wu, Chien-Fu. </v>
      </c>
      <c r="F488" t="str">
        <f>("Wiley, ")</f>
        <v xml:space="preserve">Wiley, </v>
      </c>
      <c r="H488" t="str">
        <f t="shared" si="201"/>
        <v>圖書 book</v>
      </c>
      <c r="I488" t="str">
        <f>("QA279 W956 2000 c.2")</f>
        <v>QA279 W956 2000 c.2</v>
      </c>
      <c r="J488" t="str">
        <f>("0471255114;0471255114")</f>
        <v>0471255114;0471255114</v>
      </c>
      <c r="K488" t="str">
        <f>("1320")</f>
        <v>1320</v>
      </c>
      <c r="L488" t="str">
        <f t="shared" si="196"/>
        <v>2001/10/10 00:00:00</v>
      </c>
      <c r="M488" t="str">
        <f>("2018/08/11 13:32:21")</f>
        <v>2018/08/11 13:32:21</v>
      </c>
      <c r="N488" t="str">
        <f>("2000")</f>
        <v>2000</v>
      </c>
      <c r="O488" t="str">
        <f>("罕用書庫1-洽櫃台填單 Upon-Request Collection1 fil")</f>
        <v>罕用書庫1-洽櫃台填單 Upon-Request Collection1 fil</v>
      </c>
      <c r="P488" t="s">
        <v>64</v>
      </c>
      <c r="S488" t="str">
        <f>("xxviii, 630 p. : ")</f>
        <v xml:space="preserve">xxviii, 630 p. : </v>
      </c>
      <c r="T488" t="str">
        <f>("ill. ; ")</f>
        <v xml:space="preserve">ill. ; </v>
      </c>
      <c r="U488" t="str">
        <f>("24 cm. ")</f>
        <v xml:space="preserve">24 cm. </v>
      </c>
      <c r="W488" t="str">
        <f t="shared" si="190"/>
        <v>美國國會圖書分類法</v>
      </c>
      <c r="Y488" t="str">
        <f>("QA279")</f>
        <v>QA279</v>
      </c>
      <c r="Z488" t="str">
        <f>("2018/08/11 13:32:21")</f>
        <v>2018/08/11 13:32:21</v>
      </c>
      <c r="AA488" t="str">
        <f t="shared" si="193"/>
        <v>catc</v>
      </c>
      <c r="AC488" t="str">
        <f>("W956")</f>
        <v>W956</v>
      </c>
      <c r="AE488" t="str">
        <f>("c.2")</f>
        <v>c.2</v>
      </c>
      <c r="AF488" t="str">
        <f>("不流通")</f>
        <v>不流通</v>
      </c>
      <c r="AG488" t="str">
        <f>("報銷中")</f>
        <v>報銷中</v>
      </c>
      <c r="AI488" t="s">
        <v>65</v>
      </c>
      <c r="AK488" t="str">
        <f t="shared" si="194"/>
        <v>一般(Normal)</v>
      </c>
      <c r="AO488" t="s">
        <v>65</v>
      </c>
      <c r="AS488" t="str">
        <f>("c2000. ")</f>
        <v xml:space="preserve">c2000. </v>
      </c>
      <c r="AT488" t="str">
        <f t="shared" si="195"/>
        <v>catc</v>
      </c>
    </row>
    <row r="489" spans="1:46" x14ac:dyDescent="0.25">
      <c r="A489">
        <v>478</v>
      </c>
      <c r="B489" t="str">
        <f>("287343")</f>
        <v>287343</v>
      </c>
      <c r="C489" t="str">
        <f>("W00002514")</f>
        <v>W00002514</v>
      </c>
      <c r="D489" t="str">
        <f>("Modern labor economics : theory and public policy / ")</f>
        <v xml:space="preserve">Modern labor economics : theory and public policy / </v>
      </c>
      <c r="E489" t="str">
        <f>("Ehrenberg, Ronald G. ")</f>
        <v xml:space="preserve">Ehrenberg, Ronald G. </v>
      </c>
      <c r="F489" t="str">
        <f>("Addison Wesley, ")</f>
        <v xml:space="preserve">Addison Wesley, </v>
      </c>
      <c r="G489" t="str">
        <f>("7th ed. ")</f>
        <v xml:space="preserve">7th ed. </v>
      </c>
      <c r="H489" t="str">
        <f t="shared" si="201"/>
        <v>圖書 book</v>
      </c>
      <c r="I489" t="str">
        <f>("HD4901 E33 2000")</f>
        <v>HD4901 E33 2000</v>
      </c>
      <c r="J489" t="str">
        <f>("0321050525")</f>
        <v>0321050525</v>
      </c>
      <c r="K489" t="str">
        <f>("1296")</f>
        <v>1296</v>
      </c>
      <c r="L489" t="str">
        <f t="shared" si="196"/>
        <v>2001/10/10 00:00:00</v>
      </c>
      <c r="M489" t="str">
        <f>("2018/08/11 13:31:07")</f>
        <v>2018/08/11 13:31:07</v>
      </c>
      <c r="N489" t="str">
        <f>("2000")</f>
        <v>2000</v>
      </c>
      <c r="O489" t="str">
        <f>("4F西文書庫 4F Western Language Books")</f>
        <v>4F西文書庫 4F Western Language Books</v>
      </c>
      <c r="P489" t="s">
        <v>64</v>
      </c>
      <c r="S489" t="str">
        <f>("xix, 651 p. : ")</f>
        <v xml:space="preserve">xix, 651 p. : </v>
      </c>
      <c r="T489" t="str">
        <f>("ill. ; ")</f>
        <v xml:space="preserve">ill. ; </v>
      </c>
      <c r="U489" t="str">
        <f>("24 cm. ")</f>
        <v xml:space="preserve">24 cm. </v>
      </c>
      <c r="W489" t="str">
        <f t="shared" si="190"/>
        <v>美國國會圖書分類法</v>
      </c>
      <c r="Y489" t="str">
        <f>("HD4901")</f>
        <v>HD4901</v>
      </c>
      <c r="Z489" t="str">
        <f>("2018/08/11 13:31:07")</f>
        <v>2018/08/11 13:31:07</v>
      </c>
      <c r="AA489" t="str">
        <f t="shared" si="193"/>
        <v>catc</v>
      </c>
      <c r="AC489" t="str">
        <f>("E33")</f>
        <v>E33</v>
      </c>
      <c r="AE489" t="str">
        <f>("c.1")</f>
        <v>c.1</v>
      </c>
      <c r="AF489" t="str">
        <f>("1.可借圖書")</f>
        <v>1.可借圖書</v>
      </c>
      <c r="AG489" t="str">
        <f>("在架")</f>
        <v>在架</v>
      </c>
      <c r="AI489" t="s">
        <v>65</v>
      </c>
      <c r="AK489" t="str">
        <f t="shared" si="194"/>
        <v>一般(Normal)</v>
      </c>
      <c r="AO489" t="s">
        <v>65</v>
      </c>
      <c r="AS489" t="str">
        <f>("c2000. ")</f>
        <v xml:space="preserve">c2000. </v>
      </c>
      <c r="AT489" t="str">
        <f t="shared" si="195"/>
        <v>catc</v>
      </c>
    </row>
    <row r="490" spans="1:46" x14ac:dyDescent="0.25">
      <c r="A490">
        <v>479</v>
      </c>
      <c r="B490" t="str">
        <f>("287518")</f>
        <v>287518</v>
      </c>
      <c r="C490" t="str">
        <f>("W00002515")</f>
        <v>W00002515</v>
      </c>
      <c r="D490" t="str">
        <f>("Financial institutions management :a modern perspective /")</f>
        <v>Financial institutions management :a modern perspective /</v>
      </c>
      <c r="E490" t="str">
        <f>("Saunders, Anthony,1949- ")</f>
        <v xml:space="preserve">Saunders, Anthony,1949- </v>
      </c>
      <c r="F490" t="str">
        <f>("Irwin/McGraw-Hill,")</f>
        <v>Irwin/McGraw-Hill,</v>
      </c>
      <c r="G490" t="str">
        <f>("3rd ed ")</f>
        <v xml:space="preserve">3rd ed </v>
      </c>
      <c r="H490" t="str">
        <f t="shared" si="201"/>
        <v>圖書 book</v>
      </c>
      <c r="I490" t="str">
        <f>("HG181 S257 1999")</f>
        <v>HG181 S257 1999</v>
      </c>
      <c r="J490" t="str">
        <f>("0071169857")</f>
        <v>0071169857</v>
      </c>
      <c r="K490" t="str">
        <f>("1128")</f>
        <v>1128</v>
      </c>
      <c r="L490" t="str">
        <f t="shared" si="196"/>
        <v>2001/10/10 00:00:00</v>
      </c>
      <c r="M490" t="str">
        <f>("2018/08/11 13:31:28")</f>
        <v>2018/08/11 13:31:28</v>
      </c>
      <c r="N490" t="str">
        <f>("1999")</f>
        <v>1999</v>
      </c>
      <c r="O490" t="str">
        <f>("4F西文書庫 4F Western Language Books")</f>
        <v>4F西文書庫 4F Western Language Books</v>
      </c>
      <c r="P490" t="s">
        <v>64</v>
      </c>
      <c r="S490" t="str">
        <f>("xx, 742 p. :")</f>
        <v>xx, 742 p. :</v>
      </c>
      <c r="T490" t="str">
        <f>("ill., maps ;")</f>
        <v>ill., maps ;</v>
      </c>
      <c r="U490" t="str">
        <f>("26 cm ")</f>
        <v xml:space="preserve">26 cm </v>
      </c>
      <c r="W490" t="str">
        <f t="shared" si="190"/>
        <v>美國國會圖書分類法</v>
      </c>
      <c r="Y490" t="str">
        <f>("HG181")</f>
        <v>HG181</v>
      </c>
      <c r="Z490" t="str">
        <f>("2018/08/11 13:31:28")</f>
        <v>2018/08/11 13:31:28</v>
      </c>
      <c r="AA490" t="str">
        <f t="shared" si="193"/>
        <v>catc</v>
      </c>
      <c r="AC490" t="str">
        <f>("S257")</f>
        <v>S257</v>
      </c>
      <c r="AE490" t="str">
        <f>("c.1")</f>
        <v>c.1</v>
      </c>
      <c r="AF490" t="str">
        <f>("1.可借圖書")</f>
        <v>1.可借圖書</v>
      </c>
      <c r="AG490" t="str">
        <f>("在架")</f>
        <v>在架</v>
      </c>
      <c r="AI490" t="s">
        <v>65</v>
      </c>
      <c r="AK490" t="str">
        <f t="shared" si="194"/>
        <v>一般(Normal)</v>
      </c>
      <c r="AO490" t="s">
        <v>65</v>
      </c>
      <c r="AS490" t="str">
        <f>("c1999 ")</f>
        <v xml:space="preserve">c1999 </v>
      </c>
      <c r="AT490" t="str">
        <f t="shared" si="195"/>
        <v>catc</v>
      </c>
    </row>
    <row r="491" spans="1:46" x14ac:dyDescent="0.25">
      <c r="A491">
        <v>480</v>
      </c>
      <c r="B491" t="str">
        <f>("289364")</f>
        <v>289364</v>
      </c>
      <c r="C491" t="str">
        <f>("W00002516")</f>
        <v>W00002516</v>
      </c>
      <c r="D491" t="str">
        <f>("Annual of ad productions in Japan 2001")</f>
        <v>Annual of ad productions in Japan 2001</v>
      </c>
      <c r="E491" t="str">
        <f>("")</f>
        <v/>
      </c>
      <c r="F491" t="str">
        <f>("Kosokawa Yasuo, ")</f>
        <v xml:space="preserve">Kosokawa Yasuo, </v>
      </c>
      <c r="H491" t="str">
        <f t="shared" si="201"/>
        <v>圖書 book</v>
      </c>
      <c r="I491" t="str">
        <f>("TN29.B6 A613 2001")</f>
        <v>TN29.B6 A613 2001</v>
      </c>
      <c r="J491" t="str">
        <f>("897373824")</f>
        <v>897373824</v>
      </c>
      <c r="K491" t="str">
        <f>("1480")</f>
        <v>1480</v>
      </c>
      <c r="L491" t="str">
        <f t="shared" si="196"/>
        <v>2001/10/10 00:00:00</v>
      </c>
      <c r="M491" t="str">
        <f>("2018/08/11 13:34:26")</f>
        <v>2018/08/11 13:34:26</v>
      </c>
      <c r="N491" t="str">
        <f>("2001")</f>
        <v>2001</v>
      </c>
      <c r="O491" t="str">
        <f>("4F西文書庫 4F Western Language Books")</f>
        <v>4F西文書庫 4F Western Language Books</v>
      </c>
      <c r="P491" t="s">
        <v>64</v>
      </c>
      <c r="W491" t="str">
        <f t="shared" si="190"/>
        <v>美國國會圖書分類法</v>
      </c>
      <c r="Y491" t="str">
        <f>("TN29.B6")</f>
        <v>TN29.B6</v>
      </c>
      <c r="Z491" t="str">
        <f>("2018/08/11 13:34:26")</f>
        <v>2018/08/11 13:34:26</v>
      </c>
      <c r="AA491" t="str">
        <f t="shared" si="193"/>
        <v>catc</v>
      </c>
      <c r="AC491" t="str">
        <f>("A613")</f>
        <v>A613</v>
      </c>
      <c r="AE491" t="str">
        <f>("c.1")</f>
        <v>c.1</v>
      </c>
      <c r="AF491" t="str">
        <f>("1.可借圖書")</f>
        <v>1.可借圖書</v>
      </c>
      <c r="AG491" t="str">
        <f>("在架")</f>
        <v>在架</v>
      </c>
      <c r="AI491" t="s">
        <v>65</v>
      </c>
      <c r="AK491" t="str">
        <f t="shared" si="194"/>
        <v>一般(Normal)</v>
      </c>
      <c r="AO491" t="s">
        <v>65</v>
      </c>
      <c r="AS491" t="str">
        <f>("2001.")</f>
        <v>2001.</v>
      </c>
      <c r="AT491" t="str">
        <f t="shared" si="195"/>
        <v>catc</v>
      </c>
    </row>
    <row r="492" spans="1:46" x14ac:dyDescent="0.25">
      <c r="A492">
        <v>481</v>
      </c>
      <c r="B492" t="str">
        <f>("288472")</f>
        <v>288472</v>
      </c>
      <c r="C492" t="str">
        <f>("W00002517")</f>
        <v>W00002517</v>
      </c>
      <c r="D492" t="str">
        <f>("The management and control of quality / ")</f>
        <v xml:space="preserve">The management and control of quality / </v>
      </c>
      <c r="E492" t="str">
        <f>("Evans, James R. 1950- ")</f>
        <v xml:space="preserve">Evans, James R. 1950- </v>
      </c>
      <c r="F492" t="str">
        <f>("South-Western College Pub., ")</f>
        <v xml:space="preserve">South-Western College Pub., </v>
      </c>
      <c r="G492" t="str">
        <f>("4th ed. ")</f>
        <v xml:space="preserve">4th ed. </v>
      </c>
      <c r="H492" t="str">
        <f t="shared" si="201"/>
        <v>圖書 book</v>
      </c>
      <c r="I492" t="str">
        <f>("TS156 E92 1999")</f>
        <v>TS156 E92 1999</v>
      </c>
      <c r="J492" t="str">
        <f>("0538882425")</f>
        <v>0538882425</v>
      </c>
      <c r="K492" t="str">
        <f>("1200")</f>
        <v>1200</v>
      </c>
      <c r="L492" t="str">
        <f t="shared" si="196"/>
        <v>2001/10/10 00:00:00</v>
      </c>
      <c r="M492" t="str">
        <f>("2018/08/11 13:33:00")</f>
        <v>2018/08/11 13:33:00</v>
      </c>
      <c r="N492" t="str">
        <f>("1999")</f>
        <v>1999</v>
      </c>
      <c r="O492" t="str">
        <f>("4F西文書庫 4F Western Language Books")</f>
        <v>4F西文書庫 4F Western Language Books</v>
      </c>
      <c r="P492" t="s">
        <v>64</v>
      </c>
      <c r="S492" t="str">
        <f>("1v. (various pagings) : ")</f>
        <v xml:space="preserve">1v. (various pagings) : </v>
      </c>
      <c r="T492" t="str">
        <f>("ill. ; ")</f>
        <v xml:space="preserve">ill. ; </v>
      </c>
      <c r="U492" t="str">
        <f>("26 cm. + ")</f>
        <v xml:space="preserve">26 cm. + </v>
      </c>
      <c r="V492" t="str">
        <f>(" 1 computer disk (3 1/2 in.) ")</f>
        <v xml:space="preserve"> 1 computer disk (3 1/2 in.) </v>
      </c>
      <c r="W492" t="str">
        <f t="shared" si="190"/>
        <v>美國國會圖書分類法</v>
      </c>
      <c r="Y492" t="str">
        <f>("TS156")</f>
        <v>TS156</v>
      </c>
      <c r="Z492" t="str">
        <f>("2018/08/11 13:33:00")</f>
        <v>2018/08/11 13:33:00</v>
      </c>
      <c r="AA492" t="str">
        <f t="shared" si="193"/>
        <v>catc</v>
      </c>
      <c r="AC492" t="str">
        <f>("E92")</f>
        <v>E92</v>
      </c>
      <c r="AE492" t="str">
        <f>("c.1")</f>
        <v>c.1</v>
      </c>
      <c r="AF492" t="str">
        <f>("1.可借圖書")</f>
        <v>1.可借圖書</v>
      </c>
      <c r="AG492" t="str">
        <f>("在架")</f>
        <v>在架</v>
      </c>
      <c r="AI492" t="s">
        <v>65</v>
      </c>
      <c r="AK492" t="str">
        <f t="shared" si="194"/>
        <v>一般(Normal)</v>
      </c>
      <c r="AO492" t="s">
        <v>65</v>
      </c>
      <c r="AS492" t="str">
        <f>("c1999. ")</f>
        <v xml:space="preserve">c1999. </v>
      </c>
      <c r="AT492" t="str">
        <f t="shared" si="195"/>
        <v>catc</v>
      </c>
    </row>
    <row r="493" spans="1:46" x14ac:dyDescent="0.25">
      <c r="A493">
        <v>482</v>
      </c>
      <c r="B493" t="str">
        <f>("287435")</f>
        <v>287435</v>
      </c>
      <c r="C493" t="str">
        <f>("W00002518")</f>
        <v>W00002518</v>
      </c>
      <c r="D493" t="str">
        <f>("Financial accounting / ")</f>
        <v xml:space="preserve">Financial accounting / </v>
      </c>
      <c r="E493" t="str">
        <f>("Diamond, Michael A. ")</f>
        <v xml:space="preserve">Diamond, Michael A. </v>
      </c>
      <c r="F493" t="str">
        <f>("Southwestern College Pub., ")</f>
        <v xml:space="preserve">Southwestern College Pub., </v>
      </c>
      <c r="G493" t="str">
        <f>("5th ed. ")</f>
        <v xml:space="preserve">5th ed. </v>
      </c>
      <c r="H493" t="str">
        <f t="shared" si="201"/>
        <v>圖書 book</v>
      </c>
      <c r="I493" t="str">
        <f>("HF5635 D537 2000 c.4")</f>
        <v>HF5635 D537 2000 c.4</v>
      </c>
      <c r="J493" t="str">
        <f>("0538873019")</f>
        <v>0538873019</v>
      </c>
      <c r="K493" t="str">
        <f>("1200")</f>
        <v>1200</v>
      </c>
      <c r="L493" t="str">
        <f t="shared" si="196"/>
        <v>2001/10/10 00:00:00</v>
      </c>
      <c r="M493" t="str">
        <f>("2018/08/11 13:31:14")</f>
        <v>2018/08/11 13:31:14</v>
      </c>
      <c r="N493" t="str">
        <f>("2000")</f>
        <v>2000</v>
      </c>
      <c r="O493" t="str">
        <f>("罕用書庫1-洽櫃台填單 Upon-Request Collection1 fil")</f>
        <v>罕用書庫1-洽櫃台填單 Upon-Request Collection1 fil</v>
      </c>
      <c r="P493" t="s">
        <v>64</v>
      </c>
      <c r="S493" t="str">
        <f>("xxxii, 799 p. ; ")</f>
        <v xml:space="preserve">xxxii, 799 p. ; </v>
      </c>
      <c r="U493" t="str">
        <f>("26 cm. ")</f>
        <v xml:space="preserve">26 cm. </v>
      </c>
      <c r="W493" t="str">
        <f t="shared" si="190"/>
        <v>美國國會圖書分類法</v>
      </c>
      <c r="Y493" t="str">
        <f>("HF5635")</f>
        <v>HF5635</v>
      </c>
      <c r="Z493" t="str">
        <f>("2018/08/11 13:31:14")</f>
        <v>2018/08/11 13:31:14</v>
      </c>
      <c r="AA493" t="str">
        <f t="shared" si="193"/>
        <v>catc</v>
      </c>
      <c r="AC493" t="str">
        <f>("D537")</f>
        <v>D537</v>
      </c>
      <c r="AE493" t="str">
        <f>("c.4")</f>
        <v>c.4</v>
      </c>
      <c r="AF493" t="str">
        <f>("不流通")</f>
        <v>不流通</v>
      </c>
      <c r="AG493" t="str">
        <f>("報銷中")</f>
        <v>報銷中</v>
      </c>
      <c r="AI493" t="s">
        <v>65</v>
      </c>
      <c r="AK493" t="str">
        <f t="shared" si="194"/>
        <v>一般(Normal)</v>
      </c>
      <c r="AO493" t="s">
        <v>65</v>
      </c>
      <c r="AS493" t="str">
        <f>("c2000. ")</f>
        <v xml:space="preserve">c2000. </v>
      </c>
      <c r="AT493" t="str">
        <f t="shared" si="195"/>
        <v>catc</v>
      </c>
    </row>
    <row r="494" spans="1:46" x14ac:dyDescent="0.25">
      <c r="A494">
        <v>483</v>
      </c>
      <c r="B494" t="str">
        <f>("288233")</f>
        <v>288233</v>
      </c>
      <c r="C494" t="str">
        <f>("W00002519")</f>
        <v>W00002519</v>
      </c>
      <c r="D494" t="str">
        <f>("Organization theory and design / ")</f>
        <v xml:space="preserve">Organization theory and design / </v>
      </c>
      <c r="E494" t="str">
        <f>("Daft, Richard L. ")</f>
        <v xml:space="preserve">Daft, Richard L. </v>
      </c>
      <c r="F494" t="str">
        <f>("South-Western College Publishing, ")</f>
        <v xml:space="preserve">South-Western College Publishing, </v>
      </c>
      <c r="G494" t="str">
        <f>("7th ed. ")</f>
        <v xml:space="preserve">7th ed. </v>
      </c>
      <c r="H494" t="str">
        <f t="shared" si="201"/>
        <v>圖書 book</v>
      </c>
      <c r="I494" t="str">
        <f>("HD31 D124-3 2001 c.3")</f>
        <v>HD31 D124-3 2001 c.3</v>
      </c>
      <c r="J494" t="str">
        <f>("0324021003")</f>
        <v>0324021003</v>
      </c>
      <c r="K494" t="str">
        <f>("675")</f>
        <v>675</v>
      </c>
      <c r="L494" t="str">
        <f t="shared" si="196"/>
        <v>2001/10/10 00:00:00</v>
      </c>
      <c r="M494" t="str">
        <f>("2018/08/11 13:32:37")</f>
        <v>2018/08/11 13:32:37</v>
      </c>
      <c r="N494" t="str">
        <f>("2001")</f>
        <v>2001</v>
      </c>
      <c r="O494" t="str">
        <f t="shared" ref="O494:O505" si="205">("4F西文書庫 4F Western Language Books")</f>
        <v>4F西文書庫 4F Western Language Books</v>
      </c>
      <c r="P494" t="s">
        <v>64</v>
      </c>
      <c r="W494" t="str">
        <f t="shared" si="190"/>
        <v>美國國會圖書分類法</v>
      </c>
      <c r="Y494" t="str">
        <f>("HD31")</f>
        <v>HD31</v>
      </c>
      <c r="Z494" t="str">
        <f>("2018/08/11 13:32:37")</f>
        <v>2018/08/11 13:32:37</v>
      </c>
      <c r="AA494" t="str">
        <f t="shared" si="193"/>
        <v>catc</v>
      </c>
      <c r="AC494" t="str">
        <f>("D124-3")</f>
        <v>D124-3</v>
      </c>
      <c r="AE494" t="str">
        <f>("c.3")</f>
        <v>c.3</v>
      </c>
      <c r="AF494" t="str">
        <f t="shared" ref="AF494:AF505" si="206">("1.可借圖書")</f>
        <v>1.可借圖書</v>
      </c>
      <c r="AG494" t="str">
        <f t="shared" ref="AG494:AG505" si="207">("在架")</f>
        <v>在架</v>
      </c>
      <c r="AI494" t="s">
        <v>65</v>
      </c>
      <c r="AK494" t="str">
        <f t="shared" si="194"/>
        <v>一般(Normal)</v>
      </c>
      <c r="AO494" t="s">
        <v>65</v>
      </c>
      <c r="AS494" t="str">
        <f>("c2001. ")</f>
        <v xml:space="preserve">c2001. </v>
      </c>
      <c r="AT494" t="str">
        <f t="shared" si="195"/>
        <v>catc</v>
      </c>
    </row>
    <row r="495" spans="1:46" x14ac:dyDescent="0.25">
      <c r="A495">
        <v>484</v>
      </c>
      <c r="B495" t="str">
        <f>("291730")</f>
        <v>291730</v>
      </c>
      <c r="C495" t="str">
        <f>("W00002520")</f>
        <v>W00002520</v>
      </c>
      <c r="D495" t="str">
        <f>("Cost management :accounting and control /")</f>
        <v>Cost management :accounting and control /</v>
      </c>
      <c r="E495" t="str">
        <f>("Hansen, Don R.")</f>
        <v>Hansen, Don R.</v>
      </c>
      <c r="F495" t="str">
        <f>("South-Western College Pub.,")</f>
        <v>South-Western College Pub.,</v>
      </c>
      <c r="G495" t="str">
        <f>("3rd ed.")</f>
        <v>3rd ed.</v>
      </c>
      <c r="H495" t="str">
        <f t="shared" si="201"/>
        <v>圖書 book</v>
      </c>
      <c r="I495" t="str">
        <f>("HF5686.C8 H249 2000")</f>
        <v>HF5686.C8 H249 2000</v>
      </c>
      <c r="J495" t="str">
        <f>("0324002327")</f>
        <v>0324002327</v>
      </c>
      <c r="K495" t="str">
        <f>("1248")</f>
        <v>1248</v>
      </c>
      <c r="L495" t="str">
        <f t="shared" si="196"/>
        <v>2001/10/10 00:00:00</v>
      </c>
      <c r="M495" t="str">
        <f>("2018/08/11 13:38:51")</f>
        <v>2018/08/11 13:38:51</v>
      </c>
      <c r="N495" t="str">
        <f>("2000")</f>
        <v>2000</v>
      </c>
      <c r="O495" t="str">
        <f t="shared" si="205"/>
        <v>4F西文書庫 4F Western Language Books</v>
      </c>
      <c r="P495" t="s">
        <v>64</v>
      </c>
      <c r="S495" t="str">
        <f>("xxiii, 952 p. :")</f>
        <v>xxiii, 952 p. :</v>
      </c>
      <c r="T495" t="str">
        <f>("col. ill. ;")</f>
        <v>col. ill. ;</v>
      </c>
      <c r="U495" t="str">
        <f>("29 cm.")</f>
        <v>29 cm.</v>
      </c>
      <c r="W495" t="str">
        <f t="shared" si="190"/>
        <v>美國國會圖書分類法</v>
      </c>
      <c r="Y495" t="str">
        <f>("HF5686.C8")</f>
        <v>HF5686.C8</v>
      </c>
      <c r="Z495" t="str">
        <f>("2018/08/11 13:38:51")</f>
        <v>2018/08/11 13:38:51</v>
      </c>
      <c r="AA495" t="str">
        <f t="shared" si="193"/>
        <v>catc</v>
      </c>
      <c r="AC495" t="str">
        <f>("H249")</f>
        <v>H249</v>
      </c>
      <c r="AE495" t="str">
        <f t="shared" ref="AE495:AE505" si="208">("c.1")</f>
        <v>c.1</v>
      </c>
      <c r="AF495" t="str">
        <f t="shared" si="206"/>
        <v>1.可借圖書</v>
      </c>
      <c r="AG495" t="str">
        <f t="shared" si="207"/>
        <v>在架</v>
      </c>
      <c r="AI495" t="s">
        <v>65</v>
      </c>
      <c r="AK495" t="str">
        <f t="shared" si="194"/>
        <v>一般(Normal)</v>
      </c>
      <c r="AO495" t="s">
        <v>65</v>
      </c>
      <c r="AS495" t="str">
        <f>("c2000.")</f>
        <v>c2000.</v>
      </c>
      <c r="AT495" t="str">
        <f t="shared" si="195"/>
        <v>catc</v>
      </c>
    </row>
    <row r="496" spans="1:46" x14ac:dyDescent="0.25">
      <c r="A496">
        <v>485</v>
      </c>
      <c r="B496" t="str">
        <f>("287654")</f>
        <v>287654</v>
      </c>
      <c r="C496" t="str">
        <f>("W00002521")</f>
        <v>W00002521</v>
      </c>
      <c r="D496" t="str">
        <f>("Consumer behavior /")</f>
        <v>Consumer behavior /</v>
      </c>
      <c r="E496" t="str">
        <f>("Blackwell, Roger D.")</f>
        <v>Blackwell, Roger D.</v>
      </c>
      <c r="F496" t="str">
        <f>("Harcourt College Publishers,")</f>
        <v>Harcourt College Publishers,</v>
      </c>
      <c r="G496" t="str">
        <f>("9th ed.")</f>
        <v>9th ed.</v>
      </c>
      <c r="H496" t="str">
        <f t="shared" si="201"/>
        <v>圖書 book</v>
      </c>
      <c r="I496" t="str">
        <f>("HF5415.32 B632 2001")</f>
        <v>HF5415.32 B632 2001</v>
      </c>
      <c r="J496" t="str">
        <f>("0030211085")</f>
        <v>0030211085</v>
      </c>
      <c r="K496" t="str">
        <f>("1320")</f>
        <v>1320</v>
      </c>
      <c r="L496" t="str">
        <f t="shared" si="196"/>
        <v>2001/10/10 00:00:00</v>
      </c>
      <c r="M496" t="str">
        <f>("2018/08/11 13:31:40")</f>
        <v>2018/08/11 13:31:40</v>
      </c>
      <c r="N496" t="str">
        <f>("2001")</f>
        <v>2001</v>
      </c>
      <c r="O496" t="str">
        <f t="shared" si="205"/>
        <v>4F西文書庫 4F Western Language Books</v>
      </c>
      <c r="P496" t="s">
        <v>64</v>
      </c>
      <c r="W496" t="str">
        <f t="shared" si="190"/>
        <v>美國國會圖書分類法</v>
      </c>
      <c r="Y496" t="str">
        <f>("HF5415.32")</f>
        <v>HF5415.32</v>
      </c>
      <c r="Z496" t="str">
        <f>("2018/08/11 13:31:39")</f>
        <v>2018/08/11 13:31:39</v>
      </c>
      <c r="AA496" t="str">
        <f t="shared" si="193"/>
        <v>catc</v>
      </c>
      <c r="AC496" t="str">
        <f>("B632")</f>
        <v>B632</v>
      </c>
      <c r="AE496" t="str">
        <f t="shared" si="208"/>
        <v>c.1</v>
      </c>
      <c r="AF496" t="str">
        <f t="shared" si="206"/>
        <v>1.可借圖書</v>
      </c>
      <c r="AG496" t="str">
        <f t="shared" si="207"/>
        <v>在架</v>
      </c>
      <c r="AI496" t="s">
        <v>65</v>
      </c>
      <c r="AK496" t="str">
        <f t="shared" si="194"/>
        <v>一般(Normal)</v>
      </c>
      <c r="AO496" t="s">
        <v>65</v>
      </c>
      <c r="AS496" t="str">
        <f>("c2001.")</f>
        <v>c2001.</v>
      </c>
      <c r="AT496" t="str">
        <f t="shared" si="195"/>
        <v>catc</v>
      </c>
    </row>
    <row r="497" spans="1:46" x14ac:dyDescent="0.25">
      <c r="A497">
        <v>486</v>
      </c>
      <c r="B497" t="str">
        <f>("289365")</f>
        <v>289365</v>
      </c>
      <c r="C497" t="str">
        <f>("W00002522")</f>
        <v>W00002522</v>
      </c>
      <c r="D497" t="str">
        <f>("Global operations and logistics : text and cases / ")</f>
        <v xml:space="preserve">Global operations and logistics : text and cases / </v>
      </c>
      <c r="E497" t="str">
        <f>("Donrnier, Philippe-Pierre")</f>
        <v>Donrnier, Philippe-Pierre</v>
      </c>
      <c r="F497" t="str">
        <f>("John Wiley, ")</f>
        <v xml:space="preserve">John Wiley, </v>
      </c>
      <c r="H497" t="str">
        <f t="shared" si="201"/>
        <v>圖書 book</v>
      </c>
      <c r="I497" t="str">
        <f>("HD38.5 D674 1998")</f>
        <v>HD38.5 D674 1998</v>
      </c>
      <c r="J497" t="str">
        <f>("0471120367")</f>
        <v>0471120367</v>
      </c>
      <c r="K497" t="str">
        <f>("1008")</f>
        <v>1008</v>
      </c>
      <c r="L497" t="str">
        <f t="shared" si="196"/>
        <v>2001/10/10 00:00:00</v>
      </c>
      <c r="M497" t="str">
        <f t="shared" ref="M497:M506" si="209">("2018/08/11 13:34:27")</f>
        <v>2018/08/11 13:34:27</v>
      </c>
      <c r="N497" t="str">
        <f>("1998")</f>
        <v>1998</v>
      </c>
      <c r="O497" t="str">
        <f t="shared" si="205"/>
        <v>4F西文書庫 4F Western Language Books</v>
      </c>
      <c r="P497" t="s">
        <v>64</v>
      </c>
      <c r="W497" t="str">
        <f t="shared" si="190"/>
        <v>美國國會圖書分類法</v>
      </c>
      <c r="Y497" t="str">
        <f>("HD38.5")</f>
        <v>HD38.5</v>
      </c>
      <c r="Z497" t="str">
        <f>("2018/08/11 13:34:26")</f>
        <v>2018/08/11 13:34:26</v>
      </c>
      <c r="AA497" t="str">
        <f t="shared" si="193"/>
        <v>catc</v>
      </c>
      <c r="AC497" t="str">
        <f>("D674")</f>
        <v>D674</v>
      </c>
      <c r="AE497" t="str">
        <f t="shared" si="208"/>
        <v>c.1</v>
      </c>
      <c r="AF497" t="str">
        <f t="shared" si="206"/>
        <v>1.可借圖書</v>
      </c>
      <c r="AG497" t="str">
        <f t="shared" si="207"/>
        <v>在架</v>
      </c>
      <c r="AI497" t="s">
        <v>65</v>
      </c>
      <c r="AK497" t="str">
        <f t="shared" si="194"/>
        <v>一般(Normal)</v>
      </c>
      <c r="AO497" t="s">
        <v>65</v>
      </c>
      <c r="AS497" t="str">
        <f>("c1998. ")</f>
        <v xml:space="preserve">c1998. </v>
      </c>
      <c r="AT497" t="str">
        <f t="shared" si="195"/>
        <v>catc</v>
      </c>
    </row>
    <row r="498" spans="1:46" x14ac:dyDescent="0.25">
      <c r="A498">
        <v>487</v>
      </c>
      <c r="B498" t="str">
        <f>("289366")</f>
        <v>289366</v>
      </c>
      <c r="C498" t="str">
        <f>("W00002523")</f>
        <v>W00002523</v>
      </c>
      <c r="D498" t="str">
        <f>("Health Spaces")</f>
        <v>Health Spaces</v>
      </c>
      <c r="E498" t="str">
        <f>("")</f>
        <v/>
      </c>
      <c r="F498" t="str">
        <f>("Images.")</f>
        <v>Images.</v>
      </c>
      <c r="H498" t="str">
        <f t="shared" si="201"/>
        <v>圖書 book</v>
      </c>
      <c r="I498" t="str">
        <f>("QA309 H434 2000")</f>
        <v>QA309 H434 2000</v>
      </c>
      <c r="J498" t="str">
        <f>("186700351")</f>
        <v>186700351</v>
      </c>
      <c r="K498" t="str">
        <f>("1498")</f>
        <v>1498</v>
      </c>
      <c r="L498" t="str">
        <f t="shared" si="196"/>
        <v>2001/10/10 00:00:00</v>
      </c>
      <c r="M498" t="str">
        <f t="shared" si="209"/>
        <v>2018/08/11 13:34:27</v>
      </c>
      <c r="N498" t="str">
        <f>("2000")</f>
        <v>2000</v>
      </c>
      <c r="O498" t="str">
        <f t="shared" si="205"/>
        <v>4F西文書庫 4F Western Language Books</v>
      </c>
      <c r="P498" t="s">
        <v>64</v>
      </c>
      <c r="W498" t="str">
        <f t="shared" si="190"/>
        <v>美國國會圖書分類法</v>
      </c>
      <c r="Y498" t="str">
        <f>("QA309")</f>
        <v>QA309</v>
      </c>
      <c r="Z498" t="str">
        <f t="shared" ref="Z498:Z506" si="210">("2018/08/11 13:34:27")</f>
        <v>2018/08/11 13:34:27</v>
      </c>
      <c r="AA498" t="str">
        <f t="shared" si="193"/>
        <v>catc</v>
      </c>
      <c r="AC498" t="str">
        <f>("H434")</f>
        <v>H434</v>
      </c>
      <c r="AE498" t="str">
        <f t="shared" si="208"/>
        <v>c.1</v>
      </c>
      <c r="AF498" t="str">
        <f t="shared" si="206"/>
        <v>1.可借圖書</v>
      </c>
      <c r="AG498" t="str">
        <f t="shared" si="207"/>
        <v>在架</v>
      </c>
      <c r="AI498" t="s">
        <v>65</v>
      </c>
      <c r="AK498" t="str">
        <f t="shared" si="194"/>
        <v>一般(Normal)</v>
      </c>
      <c r="AO498" t="s">
        <v>65</v>
      </c>
      <c r="AT498" t="str">
        <f t="shared" si="195"/>
        <v>catc</v>
      </c>
    </row>
    <row r="499" spans="1:46" x14ac:dyDescent="0.25">
      <c r="A499">
        <v>488</v>
      </c>
      <c r="B499" t="str">
        <f>("289351")</f>
        <v>289351</v>
      </c>
      <c r="C499" t="str">
        <f>("W00002524")</f>
        <v>W00002524</v>
      </c>
      <c r="D499" t="str">
        <f>("50 trade secrets of great design :retail spaces /")</f>
        <v>50 trade secrets of great design :retail spaces /</v>
      </c>
      <c r="E499" t="str">
        <f>("Cliff, Stafford ")</f>
        <v xml:space="preserve">Cliff, Stafford </v>
      </c>
      <c r="F499" t="str">
        <f>("Rockport Publishers,")</f>
        <v>Rockport Publishers,</v>
      </c>
      <c r="H499" t="str">
        <f t="shared" si="201"/>
        <v>圖書 book</v>
      </c>
      <c r="I499" t="str">
        <f>("QA309 C638 1999")</f>
        <v>QA309 C638 1999</v>
      </c>
      <c r="J499" t="str">
        <f>("1564965996")</f>
        <v>1564965996</v>
      </c>
      <c r="K499" t="str">
        <f>("1400")</f>
        <v>1400</v>
      </c>
      <c r="L499" t="str">
        <f t="shared" si="196"/>
        <v>2001/10/10 00:00:00</v>
      </c>
      <c r="M499" t="str">
        <f t="shared" si="209"/>
        <v>2018/08/11 13:34:27</v>
      </c>
      <c r="N499" t="str">
        <f>("1999")</f>
        <v>1999</v>
      </c>
      <c r="O499" t="str">
        <f t="shared" si="205"/>
        <v>4F西文書庫 4F Western Language Books</v>
      </c>
      <c r="P499" t="s">
        <v>64</v>
      </c>
      <c r="W499" t="str">
        <f t="shared" si="190"/>
        <v>美國國會圖書分類法</v>
      </c>
      <c r="Y499" t="str">
        <f>("QA309")</f>
        <v>QA309</v>
      </c>
      <c r="Z499" t="str">
        <f t="shared" si="210"/>
        <v>2018/08/11 13:34:27</v>
      </c>
      <c r="AA499" t="str">
        <f t="shared" si="193"/>
        <v>catc</v>
      </c>
      <c r="AC499" t="str">
        <f>("C638")</f>
        <v>C638</v>
      </c>
      <c r="AE499" t="str">
        <f t="shared" si="208"/>
        <v>c.1</v>
      </c>
      <c r="AF499" t="str">
        <f t="shared" si="206"/>
        <v>1.可借圖書</v>
      </c>
      <c r="AG499" t="str">
        <f t="shared" si="207"/>
        <v>在架</v>
      </c>
      <c r="AI499" t="s">
        <v>65</v>
      </c>
      <c r="AK499" t="str">
        <f t="shared" si="194"/>
        <v>一般(Normal)</v>
      </c>
      <c r="AO499" t="s">
        <v>65</v>
      </c>
      <c r="AS499" t="str">
        <f>("c1999 ")</f>
        <v xml:space="preserve">c1999 </v>
      </c>
      <c r="AT499" t="str">
        <f t="shared" si="195"/>
        <v>catc</v>
      </c>
    </row>
    <row r="500" spans="1:46" x14ac:dyDescent="0.25">
      <c r="A500">
        <v>489</v>
      </c>
      <c r="B500" t="str">
        <f>("289352")</f>
        <v>289352</v>
      </c>
      <c r="C500" t="str">
        <f>("W00002525")</f>
        <v>W00002525</v>
      </c>
      <c r="D500" t="str">
        <f>("Home design working a design guide")</f>
        <v>Home design working a design guide</v>
      </c>
      <c r="E500" t="str">
        <f>("Lawrence")</f>
        <v>Lawrence</v>
      </c>
      <c r="F500" t="str">
        <f>("Rockport, ")</f>
        <v xml:space="preserve">Rockport, </v>
      </c>
      <c r="H500" t="str">
        <f t="shared" si="201"/>
        <v>圖書 book</v>
      </c>
      <c r="I500" t="str">
        <f>("GA309 L419 1999")</f>
        <v>GA309 L419 1999</v>
      </c>
      <c r="J500" t="str">
        <f>("1564966569")</f>
        <v>1564966569</v>
      </c>
      <c r="K500" t="str">
        <f>("740")</f>
        <v>740</v>
      </c>
      <c r="L500" t="str">
        <f t="shared" si="196"/>
        <v>2001/10/10 00:00:00</v>
      </c>
      <c r="M500" t="str">
        <f t="shared" si="209"/>
        <v>2018/08/11 13:34:27</v>
      </c>
      <c r="N500" t="str">
        <f>("1999")</f>
        <v>1999</v>
      </c>
      <c r="O500" t="str">
        <f t="shared" si="205"/>
        <v>4F西文書庫 4F Western Language Books</v>
      </c>
      <c r="P500" t="s">
        <v>64</v>
      </c>
      <c r="W500" t="str">
        <f t="shared" si="190"/>
        <v>美國國會圖書分類法</v>
      </c>
      <c r="Y500" t="str">
        <f>("GA309")</f>
        <v>GA309</v>
      </c>
      <c r="Z500" t="str">
        <f t="shared" si="210"/>
        <v>2018/08/11 13:34:27</v>
      </c>
      <c r="AA500" t="str">
        <f t="shared" si="193"/>
        <v>catc</v>
      </c>
      <c r="AC500" t="str">
        <f>("L419")</f>
        <v>L419</v>
      </c>
      <c r="AE500" t="str">
        <f t="shared" si="208"/>
        <v>c.1</v>
      </c>
      <c r="AF500" t="str">
        <f t="shared" si="206"/>
        <v>1.可借圖書</v>
      </c>
      <c r="AG500" t="str">
        <f t="shared" si="207"/>
        <v>在架</v>
      </c>
      <c r="AI500" t="s">
        <v>65</v>
      </c>
      <c r="AK500" t="str">
        <f t="shared" si="194"/>
        <v>一般(Normal)</v>
      </c>
      <c r="AO500" t="s">
        <v>65</v>
      </c>
      <c r="AS500" t="str">
        <f>("2000.")</f>
        <v>2000.</v>
      </c>
      <c r="AT500" t="str">
        <f t="shared" si="195"/>
        <v>catc</v>
      </c>
    </row>
    <row r="501" spans="1:46" x14ac:dyDescent="0.25">
      <c r="A501">
        <v>490</v>
      </c>
      <c r="B501" t="str">
        <f>("289353")</f>
        <v>289353</v>
      </c>
      <c r="C501" t="str">
        <f>("W00002526")</f>
        <v>W00002526</v>
      </c>
      <c r="D501" t="str">
        <f>("Calm working spaces /")</f>
        <v>Calm working spaces /</v>
      </c>
      <c r="E501" t="str">
        <f>("Mack, Lorrie ")</f>
        <v xml:space="preserve">Mack, Lorrie </v>
      </c>
      <c r="F501" t="str">
        <f>("HarperResource")</f>
        <v>HarperResource</v>
      </c>
      <c r="H501" t="str">
        <f t="shared" si="201"/>
        <v>圖書 book</v>
      </c>
      <c r="I501" t="str">
        <f>("NK2195.O4 M153 2000")</f>
        <v>NK2195.O4 M153 2000</v>
      </c>
      <c r="J501" t="str">
        <f>("0688174620")</f>
        <v>0688174620</v>
      </c>
      <c r="K501" t="str">
        <f>("1080")</f>
        <v>1080</v>
      </c>
      <c r="L501" t="str">
        <f t="shared" si="196"/>
        <v>2001/10/10 00:00:00</v>
      </c>
      <c r="M501" t="str">
        <f t="shared" si="209"/>
        <v>2018/08/11 13:34:27</v>
      </c>
      <c r="N501" t="str">
        <f>("2000")</f>
        <v>2000</v>
      </c>
      <c r="O501" t="str">
        <f t="shared" si="205"/>
        <v>4F西文書庫 4F Western Language Books</v>
      </c>
      <c r="P501" t="s">
        <v>64</v>
      </c>
      <c r="W501" t="str">
        <f t="shared" ref="W501:W564" si="211">("美國國會圖書分類法")</f>
        <v>美國國會圖書分類法</v>
      </c>
      <c r="Y501" t="str">
        <f>("NK2195.O4")</f>
        <v>NK2195.O4</v>
      </c>
      <c r="Z501" t="str">
        <f t="shared" si="210"/>
        <v>2018/08/11 13:34:27</v>
      </c>
      <c r="AA501" t="str">
        <f t="shared" si="193"/>
        <v>catc</v>
      </c>
      <c r="AC501" t="str">
        <f>("M153")</f>
        <v>M153</v>
      </c>
      <c r="AE501" t="str">
        <f t="shared" si="208"/>
        <v>c.1</v>
      </c>
      <c r="AF501" t="str">
        <f t="shared" si="206"/>
        <v>1.可借圖書</v>
      </c>
      <c r="AG501" t="str">
        <f t="shared" si="207"/>
        <v>在架</v>
      </c>
      <c r="AI501" t="s">
        <v>65</v>
      </c>
      <c r="AK501" t="str">
        <f t="shared" si="194"/>
        <v>一般(Normal)</v>
      </c>
      <c r="AO501" t="s">
        <v>65</v>
      </c>
      <c r="AS501" t="str">
        <f>("c 2000 ")</f>
        <v xml:space="preserve">c 2000 </v>
      </c>
      <c r="AT501" t="str">
        <f t="shared" si="195"/>
        <v>catc</v>
      </c>
    </row>
    <row r="502" spans="1:46" x14ac:dyDescent="0.25">
      <c r="A502">
        <v>491</v>
      </c>
      <c r="B502" t="str">
        <f>("289354")</f>
        <v>289354</v>
      </c>
      <c r="C502" t="str">
        <f>("W00002527")</f>
        <v>W00002527</v>
      </c>
      <c r="D502" t="str">
        <f>("International financial management / ")</f>
        <v xml:space="preserve">International financial management / </v>
      </c>
      <c r="E502" t="str">
        <f>("Eun, Cheol S. ")</f>
        <v xml:space="preserve">Eun, Cheol S. </v>
      </c>
      <c r="F502" t="str">
        <f>("Irwin McGraw Hill, ")</f>
        <v xml:space="preserve">Irwin McGraw Hill, </v>
      </c>
      <c r="G502" t="str">
        <f>("2nd ed. ")</f>
        <v xml:space="preserve">2nd ed. </v>
      </c>
      <c r="H502" t="str">
        <f t="shared" si="201"/>
        <v>圖書 book</v>
      </c>
      <c r="I502" t="str">
        <f>("HG3881 E56 2001")</f>
        <v>HG3881 E56 2001</v>
      </c>
      <c r="J502" t="str">
        <f>("0071181148")</f>
        <v>0071181148</v>
      </c>
      <c r="K502" t="str">
        <f>("1056")</f>
        <v>1056</v>
      </c>
      <c r="L502" t="str">
        <f t="shared" si="196"/>
        <v>2001/10/10 00:00:00</v>
      </c>
      <c r="M502" t="str">
        <f t="shared" si="209"/>
        <v>2018/08/11 13:34:27</v>
      </c>
      <c r="N502" t="str">
        <f>("2001")</f>
        <v>2001</v>
      </c>
      <c r="O502" t="str">
        <f t="shared" si="205"/>
        <v>4F西文書庫 4F Western Language Books</v>
      </c>
      <c r="P502" t="s">
        <v>64</v>
      </c>
      <c r="W502" t="str">
        <f t="shared" si="211"/>
        <v>美國國會圖書分類法</v>
      </c>
      <c r="Y502" t="str">
        <f>("HG3881")</f>
        <v>HG3881</v>
      </c>
      <c r="Z502" t="str">
        <f t="shared" si="210"/>
        <v>2018/08/11 13:34:27</v>
      </c>
      <c r="AA502" t="str">
        <f t="shared" si="193"/>
        <v>catc</v>
      </c>
      <c r="AC502" t="str">
        <f>("E56")</f>
        <v>E56</v>
      </c>
      <c r="AE502" t="str">
        <f t="shared" si="208"/>
        <v>c.1</v>
      </c>
      <c r="AF502" t="str">
        <f t="shared" si="206"/>
        <v>1.可借圖書</v>
      </c>
      <c r="AG502" t="str">
        <f t="shared" si="207"/>
        <v>在架</v>
      </c>
      <c r="AI502" t="s">
        <v>65</v>
      </c>
      <c r="AK502" t="str">
        <f t="shared" si="194"/>
        <v>一般(Normal)</v>
      </c>
      <c r="AO502" t="s">
        <v>65</v>
      </c>
      <c r="AS502" t="str">
        <f>("c2001. ")</f>
        <v xml:space="preserve">c2001. </v>
      </c>
      <c r="AT502" t="str">
        <f t="shared" si="195"/>
        <v>catc</v>
      </c>
    </row>
    <row r="503" spans="1:46" x14ac:dyDescent="0.25">
      <c r="A503">
        <v>492</v>
      </c>
      <c r="B503" t="str">
        <f>("289355")</f>
        <v>289355</v>
      </c>
      <c r="C503" t="str">
        <f>("W00002528")</f>
        <v>W00002528</v>
      </c>
      <c r="D503" t="str">
        <f>("Basic English for Computing")</f>
        <v>Basic English for Computing</v>
      </c>
      <c r="E503" t="str">
        <f>("Glendinning, Eric H.")</f>
        <v>Glendinning, Eric H.</v>
      </c>
      <c r="F503" t="str">
        <f>("Oxford, ")</f>
        <v xml:space="preserve">Oxford, </v>
      </c>
      <c r="H503" t="str">
        <f t="shared" si="201"/>
        <v>圖書 book</v>
      </c>
      <c r="I503" t="str">
        <f>("QA76.9 G558 1999 v.2")</f>
        <v>QA76.9 G558 1999 v.2</v>
      </c>
      <c r="J503" t="str">
        <f>("0194573966;0194574075")</f>
        <v>0194573966;0194574075</v>
      </c>
      <c r="K503" t="str">
        <f>("616")</f>
        <v>616</v>
      </c>
      <c r="L503" t="str">
        <f t="shared" si="196"/>
        <v>2001/10/10 00:00:00</v>
      </c>
      <c r="M503" t="str">
        <f t="shared" si="209"/>
        <v>2018/08/11 13:34:27</v>
      </c>
      <c r="N503" t="str">
        <f>("1999")</f>
        <v>1999</v>
      </c>
      <c r="O503" t="str">
        <f t="shared" si="205"/>
        <v>4F西文書庫 4F Western Language Books</v>
      </c>
      <c r="P503" t="s">
        <v>64</v>
      </c>
      <c r="W503" t="str">
        <f t="shared" si="211"/>
        <v>美國國會圖書分類法</v>
      </c>
      <c r="Y503" t="str">
        <f>("QA76.9")</f>
        <v>QA76.9</v>
      </c>
      <c r="Z503" t="str">
        <f t="shared" si="210"/>
        <v>2018/08/11 13:34:27</v>
      </c>
      <c r="AA503" t="str">
        <f t="shared" si="193"/>
        <v>catc</v>
      </c>
      <c r="AC503" t="str">
        <f>("G558")</f>
        <v>G558</v>
      </c>
      <c r="AD503" t="str">
        <f>("v.2")</f>
        <v>v.2</v>
      </c>
      <c r="AE503" t="str">
        <f t="shared" si="208"/>
        <v>c.1</v>
      </c>
      <c r="AF503" t="str">
        <f t="shared" si="206"/>
        <v>1.可借圖書</v>
      </c>
      <c r="AG503" t="str">
        <f t="shared" si="207"/>
        <v>在架</v>
      </c>
      <c r="AI503" t="s">
        <v>65</v>
      </c>
      <c r="AK503" t="str">
        <f t="shared" si="194"/>
        <v>一般(Normal)</v>
      </c>
      <c r="AO503" t="s">
        <v>65</v>
      </c>
      <c r="AS503" t="str">
        <f>("1999.")</f>
        <v>1999.</v>
      </c>
      <c r="AT503" t="str">
        <f t="shared" si="195"/>
        <v>catc</v>
      </c>
    </row>
    <row r="504" spans="1:46" x14ac:dyDescent="0.25">
      <c r="A504">
        <v>493</v>
      </c>
      <c r="B504" t="str">
        <f>("289356")</f>
        <v>289356</v>
      </c>
      <c r="C504" t="str">
        <f>("W00002529")</f>
        <v>W00002529</v>
      </c>
      <c r="D504" t="str">
        <f>("Business Venture /")</f>
        <v>Business Venture /</v>
      </c>
      <c r="E504" t="str">
        <f>("Barnard, Roger.")</f>
        <v>Barnard, Roger.</v>
      </c>
      <c r="F504" t="str">
        <f>("Oxford University Press,")</f>
        <v>Oxford University Press,</v>
      </c>
      <c r="H504" t="str">
        <f t="shared" si="201"/>
        <v>圖書 book</v>
      </c>
      <c r="I504" t="str">
        <f>("PE1128 B259 1997 v.2")</f>
        <v>PE1128 B259 1997 v.2</v>
      </c>
      <c r="J504" t="str">
        <f>("0194570363;0194570398")</f>
        <v>0194570363;0194570398</v>
      </c>
      <c r="K504" t="str">
        <f>("470")</f>
        <v>470</v>
      </c>
      <c r="L504" t="str">
        <f t="shared" si="196"/>
        <v>2001/10/10 00:00:00</v>
      </c>
      <c r="M504" t="str">
        <f t="shared" si="209"/>
        <v>2018/08/11 13:34:27</v>
      </c>
      <c r="N504" t="str">
        <f>("1997")</f>
        <v>1997</v>
      </c>
      <c r="O504" t="str">
        <f t="shared" si="205"/>
        <v>4F西文書庫 4F Western Language Books</v>
      </c>
      <c r="P504" t="s">
        <v>64</v>
      </c>
      <c r="W504" t="str">
        <f t="shared" si="211"/>
        <v>美國國會圖書分類法</v>
      </c>
      <c r="Y504" t="str">
        <f>("PE1128")</f>
        <v>PE1128</v>
      </c>
      <c r="Z504" t="str">
        <f t="shared" si="210"/>
        <v>2018/08/11 13:34:27</v>
      </c>
      <c r="AA504" t="str">
        <f t="shared" si="193"/>
        <v>catc</v>
      </c>
      <c r="AC504" t="str">
        <f>("B259")</f>
        <v>B259</v>
      </c>
      <c r="AD504" t="str">
        <f>("v.2")</f>
        <v>v.2</v>
      </c>
      <c r="AE504" t="str">
        <f t="shared" si="208"/>
        <v>c.1</v>
      </c>
      <c r="AF504" t="str">
        <f t="shared" si="206"/>
        <v>1.可借圖書</v>
      </c>
      <c r="AG504" t="str">
        <f t="shared" si="207"/>
        <v>在架</v>
      </c>
      <c r="AI504" t="s">
        <v>65</v>
      </c>
      <c r="AK504" t="str">
        <f t="shared" si="194"/>
        <v>一般(Normal)</v>
      </c>
      <c r="AO504" t="s">
        <v>65</v>
      </c>
      <c r="AS504" t="str">
        <f>("c1992-3.")</f>
        <v>c1992-3.</v>
      </c>
      <c r="AT504" t="str">
        <f t="shared" si="195"/>
        <v>catc</v>
      </c>
    </row>
    <row r="505" spans="1:46" x14ac:dyDescent="0.25">
      <c r="A505">
        <v>494</v>
      </c>
      <c r="B505" t="str">
        <f>("289356")</f>
        <v>289356</v>
      </c>
      <c r="C505" t="str">
        <f>("W00002530")</f>
        <v>W00002530</v>
      </c>
      <c r="D505" t="str">
        <f>("Business Venture /")</f>
        <v>Business Venture /</v>
      </c>
      <c r="E505" t="str">
        <f>("Barnard, Roger.")</f>
        <v>Barnard, Roger.</v>
      </c>
      <c r="F505" t="str">
        <f>("Oxford University Press,")</f>
        <v>Oxford University Press,</v>
      </c>
      <c r="H505" t="str">
        <f t="shared" si="201"/>
        <v>圖書 book</v>
      </c>
      <c r="I505" t="str">
        <f>("PE1128 B259 1997 v.1")</f>
        <v>PE1128 B259 1997 v.1</v>
      </c>
      <c r="J505" t="str">
        <f>("0194570363;0194570398")</f>
        <v>0194570363;0194570398</v>
      </c>
      <c r="K505" t="str">
        <f>("470")</f>
        <v>470</v>
      </c>
      <c r="L505" t="str">
        <f t="shared" si="196"/>
        <v>2001/10/10 00:00:00</v>
      </c>
      <c r="M505" t="str">
        <f t="shared" si="209"/>
        <v>2018/08/11 13:34:27</v>
      </c>
      <c r="N505" t="str">
        <f>("1997")</f>
        <v>1997</v>
      </c>
      <c r="O505" t="str">
        <f t="shared" si="205"/>
        <v>4F西文書庫 4F Western Language Books</v>
      </c>
      <c r="P505" t="s">
        <v>64</v>
      </c>
      <c r="W505" t="str">
        <f t="shared" si="211"/>
        <v>美國國會圖書分類法</v>
      </c>
      <c r="Y505" t="str">
        <f>("PE1128")</f>
        <v>PE1128</v>
      </c>
      <c r="Z505" t="str">
        <f t="shared" si="210"/>
        <v>2018/08/11 13:34:27</v>
      </c>
      <c r="AA505" t="str">
        <f t="shared" si="193"/>
        <v>catc</v>
      </c>
      <c r="AC505" t="str">
        <f>("B259")</f>
        <v>B259</v>
      </c>
      <c r="AD505" t="str">
        <f>("v.1")</f>
        <v>v.1</v>
      </c>
      <c r="AE505" t="str">
        <f t="shared" si="208"/>
        <v>c.1</v>
      </c>
      <c r="AF505" t="str">
        <f t="shared" si="206"/>
        <v>1.可借圖書</v>
      </c>
      <c r="AG505" t="str">
        <f t="shared" si="207"/>
        <v>在架</v>
      </c>
      <c r="AI505" t="s">
        <v>65</v>
      </c>
      <c r="AK505" t="str">
        <f t="shared" si="194"/>
        <v>一般(Normal)</v>
      </c>
      <c r="AO505" t="s">
        <v>65</v>
      </c>
      <c r="AS505" t="str">
        <f>("c1992-3.")</f>
        <v>c1992-3.</v>
      </c>
      <c r="AT505" t="str">
        <f t="shared" si="195"/>
        <v>catc</v>
      </c>
    </row>
    <row r="506" spans="1:46" x14ac:dyDescent="0.25">
      <c r="A506">
        <v>495</v>
      </c>
      <c r="B506" t="str">
        <f>("289367")</f>
        <v>289367</v>
      </c>
      <c r="C506" t="str">
        <f>("W00002531")</f>
        <v>W00002531</v>
      </c>
      <c r="D506" t="str">
        <f>("Financial accounting in an economic context /")</f>
        <v>Financial accounting in an economic context /</v>
      </c>
      <c r="E506" t="str">
        <f>("Pratt, Jamie.")</f>
        <v>Pratt, Jamie.</v>
      </c>
      <c r="F506" t="str">
        <f>("South-Western College Publishing ,")</f>
        <v>South-Western College Publishing ,</v>
      </c>
      <c r="G506" t="str">
        <f>("4th ed.")</f>
        <v>4th ed.</v>
      </c>
      <c r="H506" t="str">
        <f t="shared" si="201"/>
        <v>圖書 book</v>
      </c>
      <c r="I506" t="str">
        <f>("HF5635 P915 2000 c.2")</f>
        <v>HF5635 P915 2000 c.2</v>
      </c>
      <c r="J506" t="str">
        <f>("0324003374")</f>
        <v>0324003374</v>
      </c>
      <c r="K506" t="str">
        <f>("1176")</f>
        <v>1176</v>
      </c>
      <c r="L506" t="str">
        <f t="shared" si="196"/>
        <v>2001/10/10 00:00:00</v>
      </c>
      <c r="M506" t="str">
        <f t="shared" si="209"/>
        <v>2018/08/11 13:34:27</v>
      </c>
      <c r="N506" t="str">
        <f>("2000")</f>
        <v>2000</v>
      </c>
      <c r="O506" t="str">
        <f>("罕用書庫1-洽櫃台填單 Upon-Request Collection1 fil")</f>
        <v>罕用書庫1-洽櫃台填單 Upon-Request Collection1 fil</v>
      </c>
      <c r="P506" t="s">
        <v>64</v>
      </c>
      <c r="S506" t="str">
        <f>("xx, 779 p. :")</f>
        <v>xx, 779 p. :</v>
      </c>
      <c r="T506" t="str">
        <f>("ill. ;")</f>
        <v>ill. ;</v>
      </c>
      <c r="U506" t="str">
        <f>("26 cm.")</f>
        <v>26 cm.</v>
      </c>
      <c r="W506" t="str">
        <f t="shared" si="211"/>
        <v>美國國會圖書分類法</v>
      </c>
      <c r="Y506" t="str">
        <f>("HF5635")</f>
        <v>HF5635</v>
      </c>
      <c r="Z506" t="str">
        <f t="shared" si="210"/>
        <v>2018/08/11 13:34:27</v>
      </c>
      <c r="AA506" t="str">
        <f t="shared" si="193"/>
        <v>catc</v>
      </c>
      <c r="AC506" t="str">
        <f>("P915")</f>
        <v>P915</v>
      </c>
      <c r="AE506" t="str">
        <f>("c.2")</f>
        <v>c.2</v>
      </c>
      <c r="AF506" t="str">
        <f>("不流通")</f>
        <v>不流通</v>
      </c>
      <c r="AG506" t="str">
        <f>("報銷中")</f>
        <v>報銷中</v>
      </c>
      <c r="AI506" t="s">
        <v>65</v>
      </c>
      <c r="AK506" t="str">
        <f t="shared" si="194"/>
        <v>一般(Normal)</v>
      </c>
      <c r="AO506" t="s">
        <v>65</v>
      </c>
      <c r="AS506" t="str">
        <f>("1999.")</f>
        <v>1999.</v>
      </c>
      <c r="AT506" t="str">
        <f t="shared" si="195"/>
        <v>catc</v>
      </c>
    </row>
    <row r="507" spans="1:46" x14ac:dyDescent="0.25">
      <c r="A507">
        <v>496</v>
      </c>
      <c r="B507" t="str">
        <f>("288063")</f>
        <v>288063</v>
      </c>
      <c r="C507" t="str">
        <f>("W00002532")</f>
        <v>W00002532</v>
      </c>
      <c r="D507" t="str">
        <f>("Advanced fixed income valuation tools / ")</f>
        <v xml:space="preserve">Advanced fixed income valuation tools / </v>
      </c>
      <c r="E507" t="str">
        <f>("Jegadeesh, Narasimhan")</f>
        <v>Jegadeesh, Narasimhan</v>
      </c>
      <c r="F507" t="str">
        <f>("Wiley, ")</f>
        <v xml:space="preserve">Wiley, </v>
      </c>
      <c r="H507" t="str">
        <f t="shared" si="201"/>
        <v>圖書 book</v>
      </c>
      <c r="I507" t="str">
        <f>("HG4650 J43 2000 c.2")</f>
        <v>HG4650 J43 2000 c.2</v>
      </c>
      <c r="J507" t="str">
        <f>("0471254193")</f>
        <v>0471254193</v>
      </c>
      <c r="K507" t="str">
        <f>("1272")</f>
        <v>1272</v>
      </c>
      <c r="L507" t="str">
        <f t="shared" si="196"/>
        <v>2001/10/10 00:00:00</v>
      </c>
      <c r="M507" t="str">
        <f>("2018/08/11 13:32:20")</f>
        <v>2018/08/11 13:32:20</v>
      </c>
      <c r="N507" t="str">
        <f>("2000")</f>
        <v>2000</v>
      </c>
      <c r="O507" t="str">
        <f t="shared" ref="O507:O532" si="212">("4F西文書庫 4F Western Language Books")</f>
        <v>4F西文書庫 4F Western Language Books</v>
      </c>
      <c r="P507" t="s">
        <v>64</v>
      </c>
      <c r="W507" t="str">
        <f t="shared" si="211"/>
        <v>美國國會圖書分類法</v>
      </c>
      <c r="Y507" t="str">
        <f>("HG4650")</f>
        <v>HG4650</v>
      </c>
      <c r="Z507" t="str">
        <f>("2018/08/11 13:32:20")</f>
        <v>2018/08/11 13:32:20</v>
      </c>
      <c r="AA507" t="str">
        <f t="shared" si="193"/>
        <v>catc</v>
      </c>
      <c r="AC507" t="str">
        <f>("J43")</f>
        <v>J43</v>
      </c>
      <c r="AE507" t="str">
        <f>("c.2")</f>
        <v>c.2</v>
      </c>
      <c r="AF507" t="str">
        <f t="shared" ref="AF507:AF532" si="213">("1.可借圖書")</f>
        <v>1.可借圖書</v>
      </c>
      <c r="AG507" t="str">
        <f t="shared" ref="AG507:AG532" si="214">("在架")</f>
        <v>在架</v>
      </c>
      <c r="AI507" t="s">
        <v>65</v>
      </c>
      <c r="AK507" t="str">
        <f t="shared" si="194"/>
        <v>一般(Normal)</v>
      </c>
      <c r="AO507" t="s">
        <v>65</v>
      </c>
      <c r="AS507" t="str">
        <f>("2000. ")</f>
        <v xml:space="preserve">2000. </v>
      </c>
      <c r="AT507" t="str">
        <f t="shared" si="195"/>
        <v>catc</v>
      </c>
    </row>
    <row r="508" spans="1:46" x14ac:dyDescent="0.25">
      <c r="A508">
        <v>497</v>
      </c>
      <c r="B508" t="str">
        <f>("289355")</f>
        <v>289355</v>
      </c>
      <c r="C508" t="str">
        <f>("W00002533")</f>
        <v>W00002533</v>
      </c>
      <c r="D508" t="str">
        <f>("Basic English for Computing")</f>
        <v>Basic English for Computing</v>
      </c>
      <c r="E508" t="str">
        <f>("Glendinning, Eric H.")</f>
        <v>Glendinning, Eric H.</v>
      </c>
      <c r="F508" t="str">
        <f>("Oxford, ")</f>
        <v xml:space="preserve">Oxford, </v>
      </c>
      <c r="H508" t="str">
        <f t="shared" si="201"/>
        <v>圖書 book</v>
      </c>
      <c r="I508" t="str">
        <f>("QA76.9 G558 1999 v.1")</f>
        <v>QA76.9 G558 1999 v.1</v>
      </c>
      <c r="J508" t="str">
        <f>("0194573966;0194574075")</f>
        <v>0194573966;0194574075</v>
      </c>
      <c r="K508" t="str">
        <f>("644")</f>
        <v>644</v>
      </c>
      <c r="L508" t="str">
        <f t="shared" si="196"/>
        <v>2001/10/10 00:00:00</v>
      </c>
      <c r="M508" t="str">
        <f>("2018/08/11 13:34:27")</f>
        <v>2018/08/11 13:34:27</v>
      </c>
      <c r="N508" t="str">
        <f>("1999")</f>
        <v>1999</v>
      </c>
      <c r="O508" t="str">
        <f t="shared" si="212"/>
        <v>4F西文書庫 4F Western Language Books</v>
      </c>
      <c r="P508" t="s">
        <v>64</v>
      </c>
      <c r="W508" t="str">
        <f t="shared" si="211"/>
        <v>美國國會圖書分類法</v>
      </c>
      <c r="Y508" t="str">
        <f>("QA76.9")</f>
        <v>QA76.9</v>
      </c>
      <c r="Z508" t="str">
        <f>("2018/08/11 13:34:27")</f>
        <v>2018/08/11 13:34:27</v>
      </c>
      <c r="AA508" t="str">
        <f t="shared" si="193"/>
        <v>catc</v>
      </c>
      <c r="AC508" t="str">
        <f>("G558")</f>
        <v>G558</v>
      </c>
      <c r="AD508" t="str">
        <f>("v.1")</f>
        <v>v.1</v>
      </c>
      <c r="AE508" t="str">
        <f t="shared" ref="AE508:AE519" si="215">("c.1")</f>
        <v>c.1</v>
      </c>
      <c r="AF508" t="str">
        <f t="shared" si="213"/>
        <v>1.可借圖書</v>
      </c>
      <c r="AG508" t="str">
        <f t="shared" si="214"/>
        <v>在架</v>
      </c>
      <c r="AI508" t="s">
        <v>65</v>
      </c>
      <c r="AK508" t="str">
        <f t="shared" si="194"/>
        <v>一般(Normal)</v>
      </c>
      <c r="AO508" t="s">
        <v>65</v>
      </c>
      <c r="AS508" t="str">
        <f>("1999.")</f>
        <v>1999.</v>
      </c>
      <c r="AT508" t="str">
        <f t="shared" si="195"/>
        <v>catc</v>
      </c>
    </row>
    <row r="509" spans="1:46" x14ac:dyDescent="0.25">
      <c r="A509">
        <v>498</v>
      </c>
      <c r="B509" t="str">
        <f>("288639")</f>
        <v>288639</v>
      </c>
      <c r="C509" t="str">
        <f>("W00002534")</f>
        <v>W00002534</v>
      </c>
      <c r="D509" t="str">
        <f>("Sales management :a career path approach /")</f>
        <v>Sales management :a career path approach /</v>
      </c>
      <c r="E509" t="str">
        <f>("Hughes, G. David")</f>
        <v>Hughes, G. David</v>
      </c>
      <c r="F509" t="str">
        <f>("South-Western College Publ., ")</f>
        <v xml:space="preserve">South-Western College Publ., </v>
      </c>
      <c r="H509" t="str">
        <f t="shared" si="201"/>
        <v>圖書 book</v>
      </c>
      <c r="I509" t="str">
        <f>("HF5438.4 H893 1999")</f>
        <v>HF5438.4 H893 1999</v>
      </c>
      <c r="J509" t="str">
        <f>("0538878665")</f>
        <v>0538878665</v>
      </c>
      <c r="K509" t="str">
        <f>("1296")</f>
        <v>1296</v>
      </c>
      <c r="L509" t="str">
        <f t="shared" si="196"/>
        <v>2001/10/10 00:00:00</v>
      </c>
      <c r="M509" t="str">
        <f>("2018/08/11 13:33:20")</f>
        <v>2018/08/11 13:33:20</v>
      </c>
      <c r="N509" t="str">
        <f>("1999")</f>
        <v>1999</v>
      </c>
      <c r="O509" t="str">
        <f t="shared" si="212"/>
        <v>4F西文書庫 4F Western Language Books</v>
      </c>
      <c r="P509" t="s">
        <v>64</v>
      </c>
      <c r="S509" t="str">
        <f>("xx, 453 p. : ")</f>
        <v xml:space="preserve">xx, 453 p. : </v>
      </c>
      <c r="T509" t="str">
        <f>("ill. ; ")</f>
        <v xml:space="preserve">ill. ; </v>
      </c>
      <c r="U509" t="str">
        <f>("26 cm. ")</f>
        <v xml:space="preserve">26 cm. </v>
      </c>
      <c r="W509" t="str">
        <f t="shared" si="211"/>
        <v>美國國會圖書分類法</v>
      </c>
      <c r="Y509" t="str">
        <f>("HF5438.4")</f>
        <v>HF5438.4</v>
      </c>
      <c r="Z509" t="str">
        <f>("2018/08/11 13:33:20")</f>
        <v>2018/08/11 13:33:20</v>
      </c>
      <c r="AA509" t="str">
        <f t="shared" si="193"/>
        <v>catc</v>
      </c>
      <c r="AC509" t="str">
        <f>("H893")</f>
        <v>H893</v>
      </c>
      <c r="AE509" t="str">
        <f t="shared" si="215"/>
        <v>c.1</v>
      </c>
      <c r="AF509" t="str">
        <f t="shared" si="213"/>
        <v>1.可借圖書</v>
      </c>
      <c r="AG509" t="str">
        <f t="shared" si="214"/>
        <v>在架</v>
      </c>
      <c r="AI509" t="s">
        <v>65</v>
      </c>
      <c r="AK509" t="str">
        <f t="shared" si="194"/>
        <v>一般(Normal)</v>
      </c>
      <c r="AO509" t="s">
        <v>65</v>
      </c>
      <c r="AS509" t="str">
        <f>("c1999. ")</f>
        <v xml:space="preserve">c1999. </v>
      </c>
      <c r="AT509" t="str">
        <f t="shared" si="195"/>
        <v>catc</v>
      </c>
    </row>
    <row r="510" spans="1:46" x14ac:dyDescent="0.25">
      <c r="A510">
        <v>499</v>
      </c>
      <c r="B510" t="str">
        <f>("289368")</f>
        <v>289368</v>
      </c>
      <c r="C510" t="str">
        <f>("W00002535")</f>
        <v>W00002535</v>
      </c>
      <c r="D510" t="str">
        <f>("Business objectives /")</f>
        <v>Business objectives /</v>
      </c>
      <c r="E510" t="str">
        <f>("Hollett, Vicki")</f>
        <v>Hollett, Vicki</v>
      </c>
      <c r="F510" t="str">
        <f>("Oxford University Press,")</f>
        <v>Oxford University Press,</v>
      </c>
      <c r="G510" t="str">
        <f>("new ed.")</f>
        <v>new ed.</v>
      </c>
      <c r="H510" t="str">
        <f t="shared" si="201"/>
        <v>圖書 book</v>
      </c>
      <c r="I510" t="str">
        <f>("Z151 V636 1996")</f>
        <v>Z151 V636 1996</v>
      </c>
      <c r="J510" t="str">
        <f>("0194513912")</f>
        <v>0194513912</v>
      </c>
      <c r="K510" t="str">
        <f>("538")</f>
        <v>538</v>
      </c>
      <c r="L510" t="str">
        <f t="shared" si="196"/>
        <v>2001/10/10 00:00:00</v>
      </c>
      <c r="M510" t="str">
        <f>("2018/08/11 13:34:27")</f>
        <v>2018/08/11 13:34:27</v>
      </c>
      <c r="N510" t="str">
        <f>("1996")</f>
        <v>1996</v>
      </c>
      <c r="O510" t="str">
        <f t="shared" si="212"/>
        <v>4F西文書庫 4F Western Language Books</v>
      </c>
      <c r="P510" t="s">
        <v>64</v>
      </c>
      <c r="W510" t="str">
        <f t="shared" si="211"/>
        <v>美國國會圖書分類法</v>
      </c>
      <c r="Y510" t="str">
        <f>("Z151")</f>
        <v>Z151</v>
      </c>
      <c r="Z510" t="str">
        <f>("2018/08/11 13:34:27")</f>
        <v>2018/08/11 13:34:27</v>
      </c>
      <c r="AA510" t="str">
        <f t="shared" si="193"/>
        <v>catc</v>
      </c>
      <c r="AC510" t="str">
        <f>("V636")</f>
        <v>V636</v>
      </c>
      <c r="AE510" t="str">
        <f t="shared" si="215"/>
        <v>c.1</v>
      </c>
      <c r="AF510" t="str">
        <f t="shared" si="213"/>
        <v>1.可借圖書</v>
      </c>
      <c r="AG510" t="str">
        <f t="shared" si="214"/>
        <v>在架</v>
      </c>
      <c r="AI510" t="s">
        <v>65</v>
      </c>
      <c r="AK510" t="str">
        <f t="shared" si="194"/>
        <v>一般(Normal)</v>
      </c>
      <c r="AO510" t="s">
        <v>65</v>
      </c>
      <c r="AS510" t="str">
        <f>("c1996")</f>
        <v>c1996</v>
      </c>
      <c r="AT510" t="str">
        <f t="shared" si="195"/>
        <v>catc</v>
      </c>
    </row>
    <row r="511" spans="1:46" x14ac:dyDescent="0.25">
      <c r="A511">
        <v>500</v>
      </c>
      <c r="B511" t="str">
        <f>("289369")</f>
        <v>289369</v>
      </c>
      <c r="C511" t="str">
        <f>("W00002536")</f>
        <v>W00002536</v>
      </c>
      <c r="D511" t="str">
        <f>("Essentials of accounting / ")</f>
        <v xml:space="preserve">Essentials of accounting / </v>
      </c>
      <c r="E511" t="str">
        <f>("Anthony, Robert Newton, 1916- ")</f>
        <v xml:space="preserve">Anthony, Robert Newton, 1916- </v>
      </c>
      <c r="F511" t="str">
        <f>("Prentice Hall, ")</f>
        <v xml:space="preserve">Prentice Hall, </v>
      </c>
      <c r="G511" t="str">
        <f>("7th ed. ")</f>
        <v xml:space="preserve">7th ed. </v>
      </c>
      <c r="H511" t="str">
        <f t="shared" si="201"/>
        <v>圖書 book</v>
      </c>
      <c r="I511" t="str">
        <f>("HF5635 A628 2000")</f>
        <v>HF5635 A628 2000</v>
      </c>
      <c r="J511" t="str">
        <f>("0201615401")</f>
        <v>0201615401</v>
      </c>
      <c r="K511" t="str">
        <f>("936")</f>
        <v>936</v>
      </c>
      <c r="L511" t="str">
        <f t="shared" si="196"/>
        <v>2001/10/10 00:00:00</v>
      </c>
      <c r="M511" t="str">
        <f t="shared" ref="M511:M519" si="216">("2018/08/11 13:34:28")</f>
        <v>2018/08/11 13:34:28</v>
      </c>
      <c r="N511" t="str">
        <f>("2000")</f>
        <v>2000</v>
      </c>
      <c r="O511" t="str">
        <f t="shared" si="212"/>
        <v>4F西文書庫 4F Western Language Books</v>
      </c>
      <c r="P511" t="s">
        <v>64</v>
      </c>
      <c r="W511" t="str">
        <f t="shared" si="211"/>
        <v>美國國會圖書分類法</v>
      </c>
      <c r="Y511" t="str">
        <f>("HF5635")</f>
        <v>HF5635</v>
      </c>
      <c r="Z511" t="str">
        <f>("2018/08/11 13:34:27")</f>
        <v>2018/08/11 13:34:27</v>
      </c>
      <c r="AA511" t="str">
        <f t="shared" si="193"/>
        <v>catc</v>
      </c>
      <c r="AC511" t="str">
        <f>("A628")</f>
        <v>A628</v>
      </c>
      <c r="AE511" t="str">
        <f t="shared" si="215"/>
        <v>c.1</v>
      </c>
      <c r="AF511" t="str">
        <f t="shared" si="213"/>
        <v>1.可借圖書</v>
      </c>
      <c r="AG511" t="str">
        <f t="shared" si="214"/>
        <v>在架</v>
      </c>
      <c r="AI511" t="s">
        <v>65</v>
      </c>
      <c r="AK511" t="str">
        <f t="shared" si="194"/>
        <v>一般(Normal)</v>
      </c>
      <c r="AO511" t="s">
        <v>65</v>
      </c>
      <c r="AS511" t="str">
        <f>("c2000. ")</f>
        <v xml:space="preserve">c2000. </v>
      </c>
      <c r="AT511" t="str">
        <f t="shared" si="195"/>
        <v>catc</v>
      </c>
    </row>
    <row r="512" spans="1:46" x14ac:dyDescent="0.25">
      <c r="A512">
        <v>501</v>
      </c>
      <c r="B512" t="str">
        <f>("289370")</f>
        <v>289370</v>
      </c>
      <c r="C512" t="str">
        <f>("W00002537")</f>
        <v>W00002537</v>
      </c>
      <c r="D512" t="str">
        <f>("Business Basic /")</f>
        <v>Business Basic /</v>
      </c>
      <c r="E512" t="str">
        <f>("Grant David.")</f>
        <v>Grant David.</v>
      </c>
      <c r="F512" t="str">
        <f>("Oxford University Press,")</f>
        <v>Oxford University Press,</v>
      </c>
      <c r="H512" t="str">
        <f t="shared" si="201"/>
        <v>圖書 book</v>
      </c>
      <c r="I512" t="str">
        <f>("PE1115 G761 1995 v.1")</f>
        <v>PE1115 G761 1995 v.1</v>
      </c>
      <c r="J512" t="str">
        <f>("0194572080;0194572099")</f>
        <v>0194572080;0194572099</v>
      </c>
      <c r="K512" t="str">
        <f>("448")</f>
        <v>448</v>
      </c>
      <c r="L512" t="str">
        <f t="shared" si="196"/>
        <v>2001/10/10 00:00:00</v>
      </c>
      <c r="M512" t="str">
        <f t="shared" si="216"/>
        <v>2018/08/11 13:34:28</v>
      </c>
      <c r="N512" t="str">
        <f>("1995")</f>
        <v>1995</v>
      </c>
      <c r="O512" t="str">
        <f t="shared" si="212"/>
        <v>4F西文書庫 4F Western Language Books</v>
      </c>
      <c r="P512" t="s">
        <v>64</v>
      </c>
      <c r="W512" t="str">
        <f t="shared" si="211"/>
        <v>美國國會圖書分類法</v>
      </c>
      <c r="Y512" t="str">
        <f>("PE1115")</f>
        <v>PE1115</v>
      </c>
      <c r="Z512" t="str">
        <f t="shared" ref="Z512:Z519" si="217">("2018/08/11 13:34:28")</f>
        <v>2018/08/11 13:34:28</v>
      </c>
      <c r="AA512" t="str">
        <f t="shared" si="193"/>
        <v>catc</v>
      </c>
      <c r="AC512" t="str">
        <f>("G761")</f>
        <v>G761</v>
      </c>
      <c r="AD512" t="str">
        <f>("v.1")</f>
        <v>v.1</v>
      </c>
      <c r="AE512" t="str">
        <f t="shared" si="215"/>
        <v>c.1</v>
      </c>
      <c r="AF512" t="str">
        <f t="shared" si="213"/>
        <v>1.可借圖書</v>
      </c>
      <c r="AG512" t="str">
        <f t="shared" si="214"/>
        <v>在架</v>
      </c>
      <c r="AI512" t="s">
        <v>65</v>
      </c>
      <c r="AK512" t="str">
        <f t="shared" si="194"/>
        <v>一般(Normal)</v>
      </c>
      <c r="AO512" t="s">
        <v>65</v>
      </c>
      <c r="AS512" t="str">
        <f>("c1995.")</f>
        <v>c1995.</v>
      </c>
      <c r="AT512" t="str">
        <f t="shared" si="195"/>
        <v>catc</v>
      </c>
    </row>
    <row r="513" spans="1:46" x14ac:dyDescent="0.25">
      <c r="A513">
        <v>502</v>
      </c>
      <c r="B513" t="str">
        <f>("289371")</f>
        <v>289371</v>
      </c>
      <c r="C513" t="str">
        <f>("W00002538")</f>
        <v>W00002538</v>
      </c>
      <c r="D513" t="str">
        <f>("Focus on grammar. A high-intermediate course for reference and practice / ")</f>
        <v xml:space="preserve">Focus on grammar. A high-intermediate course for reference and practice / </v>
      </c>
      <c r="E513" t="str">
        <f>("Fuchs, Marjorie, 1949- ")</f>
        <v xml:space="preserve">Fuchs, Marjorie, 1949- </v>
      </c>
      <c r="F513" t="str">
        <f>("Longman, ")</f>
        <v xml:space="preserve">Longman, </v>
      </c>
      <c r="G513" t="str">
        <f>("2nd ed. ")</f>
        <v xml:space="preserve">2nd ed. </v>
      </c>
      <c r="H513" t="str">
        <f t="shared" si="201"/>
        <v>圖書 book</v>
      </c>
      <c r="I513" t="str">
        <f>("PE1128 F951 2000")</f>
        <v>PE1128 F951 2000</v>
      </c>
      <c r="J513" t="str">
        <f>("0201383063")</f>
        <v>0201383063</v>
      </c>
      <c r="K513" t="str">
        <f>("300")</f>
        <v>300</v>
      </c>
      <c r="L513" t="str">
        <f t="shared" si="196"/>
        <v>2001/10/10 00:00:00</v>
      </c>
      <c r="M513" t="str">
        <f t="shared" si="216"/>
        <v>2018/08/11 13:34:28</v>
      </c>
      <c r="N513" t="str">
        <f>("2000")</f>
        <v>2000</v>
      </c>
      <c r="O513" t="str">
        <f t="shared" si="212"/>
        <v>4F西文書庫 4F Western Language Books</v>
      </c>
      <c r="P513" t="s">
        <v>64</v>
      </c>
      <c r="W513" t="str">
        <f t="shared" si="211"/>
        <v>美國國會圖書分類法</v>
      </c>
      <c r="Y513" t="str">
        <f>("PE1128")</f>
        <v>PE1128</v>
      </c>
      <c r="Z513" t="str">
        <f t="shared" si="217"/>
        <v>2018/08/11 13:34:28</v>
      </c>
      <c r="AA513" t="str">
        <f t="shared" si="193"/>
        <v>catc</v>
      </c>
      <c r="AC513" t="str">
        <f>("F951")</f>
        <v>F951</v>
      </c>
      <c r="AE513" t="str">
        <f t="shared" si="215"/>
        <v>c.1</v>
      </c>
      <c r="AF513" t="str">
        <f t="shared" si="213"/>
        <v>1.可借圖書</v>
      </c>
      <c r="AG513" t="str">
        <f t="shared" si="214"/>
        <v>在架</v>
      </c>
      <c r="AI513" t="s">
        <v>65</v>
      </c>
      <c r="AK513" t="str">
        <f t="shared" si="194"/>
        <v>一般(Normal)</v>
      </c>
      <c r="AO513" t="s">
        <v>65</v>
      </c>
      <c r="AS513" t="str">
        <f>("c2000. ")</f>
        <v xml:space="preserve">c2000. </v>
      </c>
      <c r="AT513" t="str">
        <f t="shared" si="195"/>
        <v>catc</v>
      </c>
    </row>
    <row r="514" spans="1:46" x14ac:dyDescent="0.25">
      <c r="A514">
        <v>503</v>
      </c>
      <c r="B514" t="str">
        <f>("289372")</f>
        <v>289372</v>
      </c>
      <c r="C514" t="str">
        <f>("W00002539")</f>
        <v>W00002539</v>
      </c>
      <c r="D514" t="str">
        <f>("Business Options")</f>
        <v>Business Options</v>
      </c>
      <c r="E514" t="str">
        <f>("")</f>
        <v/>
      </c>
      <c r="F514" t="str">
        <f>("Oxford University Press,")</f>
        <v>Oxford University Press,</v>
      </c>
      <c r="H514" t="str">
        <f t="shared" si="201"/>
        <v>圖書 book</v>
      </c>
      <c r="I514" t="str">
        <f>("PE1115 B976 1999")</f>
        <v>PE1115 B976 1999</v>
      </c>
      <c r="J514" t="str">
        <f>("019457234X")</f>
        <v>019457234X</v>
      </c>
      <c r="K514" t="str">
        <f>("515")</f>
        <v>515</v>
      </c>
      <c r="L514" t="str">
        <f t="shared" si="196"/>
        <v>2001/10/10 00:00:00</v>
      </c>
      <c r="M514" t="str">
        <f t="shared" si="216"/>
        <v>2018/08/11 13:34:28</v>
      </c>
      <c r="N514" t="str">
        <f>("1999")</f>
        <v>1999</v>
      </c>
      <c r="O514" t="str">
        <f t="shared" si="212"/>
        <v>4F西文書庫 4F Western Language Books</v>
      </c>
      <c r="P514" t="s">
        <v>64</v>
      </c>
      <c r="Q514" t="str">
        <f>("2捲錄音帶")</f>
        <v>2捲錄音帶</v>
      </c>
      <c r="W514" t="str">
        <f t="shared" si="211"/>
        <v>美國國會圖書分類法</v>
      </c>
      <c r="Y514" t="str">
        <f>("PE1115")</f>
        <v>PE1115</v>
      </c>
      <c r="Z514" t="str">
        <f t="shared" si="217"/>
        <v>2018/08/11 13:34:28</v>
      </c>
      <c r="AA514" t="str">
        <f t="shared" si="193"/>
        <v>catc</v>
      </c>
      <c r="AC514" t="str">
        <f>("B976")</f>
        <v>B976</v>
      </c>
      <c r="AE514" t="str">
        <f t="shared" si="215"/>
        <v>c.1</v>
      </c>
      <c r="AF514" t="str">
        <f t="shared" si="213"/>
        <v>1.可借圖書</v>
      </c>
      <c r="AG514" t="str">
        <f t="shared" si="214"/>
        <v>在架</v>
      </c>
      <c r="AI514" t="s">
        <v>65</v>
      </c>
      <c r="AK514" t="str">
        <f t="shared" si="194"/>
        <v>一般(Normal)</v>
      </c>
      <c r="AO514" t="s">
        <v>65</v>
      </c>
      <c r="AS514" t="str">
        <f>("c1999.")</f>
        <v>c1999.</v>
      </c>
      <c r="AT514" t="str">
        <f t="shared" si="195"/>
        <v>catc</v>
      </c>
    </row>
    <row r="515" spans="1:46" x14ac:dyDescent="0.25">
      <c r="A515">
        <v>504</v>
      </c>
      <c r="B515" t="str">
        <f>("289357")</f>
        <v>289357</v>
      </c>
      <c r="C515" t="str">
        <f>("W00002540")</f>
        <v>W00002540</v>
      </c>
      <c r="D515" t="str">
        <f>("Intermediate accounting / ")</f>
        <v xml:space="preserve">Intermediate accounting / </v>
      </c>
      <c r="E515" t="str">
        <f>("Nikolai, Loren A. ")</f>
        <v xml:space="preserve">Nikolai, Loren A. </v>
      </c>
      <c r="F515" t="str">
        <f>("South-Western College Pub., ")</f>
        <v xml:space="preserve">South-Western College Pub., </v>
      </c>
      <c r="G515" t="str">
        <f>("8th ed. ")</f>
        <v xml:space="preserve">8th ed. </v>
      </c>
      <c r="H515" t="str">
        <f t="shared" si="201"/>
        <v>圖書 book</v>
      </c>
      <c r="I515" t="str">
        <f>("HF5635 N693 2000")</f>
        <v>HF5635 N693 2000</v>
      </c>
      <c r="J515" t="str">
        <f>("0324007310")</f>
        <v>0324007310</v>
      </c>
      <c r="K515" t="str">
        <f>("1296")</f>
        <v>1296</v>
      </c>
      <c r="L515" t="str">
        <f t="shared" si="196"/>
        <v>2001/10/10 00:00:00</v>
      </c>
      <c r="M515" t="str">
        <f t="shared" si="216"/>
        <v>2018/08/11 13:34:28</v>
      </c>
      <c r="N515" t="str">
        <f>("2000")</f>
        <v>2000</v>
      </c>
      <c r="O515" t="str">
        <f t="shared" si="212"/>
        <v>4F西文書庫 4F Western Language Books</v>
      </c>
      <c r="P515" t="s">
        <v>64</v>
      </c>
      <c r="W515" t="str">
        <f t="shared" si="211"/>
        <v>美國國會圖書分類法</v>
      </c>
      <c r="Y515" t="str">
        <f>("HF5635")</f>
        <v>HF5635</v>
      </c>
      <c r="Z515" t="str">
        <f t="shared" si="217"/>
        <v>2018/08/11 13:34:28</v>
      </c>
      <c r="AA515" t="str">
        <f t="shared" si="193"/>
        <v>catc</v>
      </c>
      <c r="AC515" t="str">
        <f>("N693")</f>
        <v>N693</v>
      </c>
      <c r="AE515" t="str">
        <f t="shared" si="215"/>
        <v>c.1</v>
      </c>
      <c r="AF515" t="str">
        <f t="shared" si="213"/>
        <v>1.可借圖書</v>
      </c>
      <c r="AG515" t="str">
        <f t="shared" si="214"/>
        <v>在架</v>
      </c>
      <c r="AI515" t="s">
        <v>65</v>
      </c>
      <c r="AK515" t="str">
        <f t="shared" si="194"/>
        <v>一般(Normal)</v>
      </c>
      <c r="AO515" t="s">
        <v>65</v>
      </c>
      <c r="AS515" t="str">
        <f>("2000. ")</f>
        <v xml:space="preserve">2000. </v>
      </c>
      <c r="AT515" t="str">
        <f t="shared" si="195"/>
        <v>catc</v>
      </c>
    </row>
    <row r="516" spans="1:46" x14ac:dyDescent="0.25">
      <c r="A516">
        <v>505</v>
      </c>
      <c r="B516" t="str">
        <f>("289358")</f>
        <v>289358</v>
      </c>
      <c r="C516" t="str">
        <f>("W00002541")</f>
        <v>W00002541</v>
      </c>
      <c r="D516" t="str">
        <f>("High season :English for the hotel and tourist industry /")</f>
        <v>High season :English for the hotel and tourist industry /</v>
      </c>
      <c r="E516" t="str">
        <f>("Harding, Keith.")</f>
        <v>Harding, Keith.</v>
      </c>
      <c r="F516" t="str">
        <f t="shared" ref="F516:F523" si="218">("Oxford University Press,")</f>
        <v>Oxford University Press,</v>
      </c>
      <c r="H516" t="str">
        <f t="shared" si="201"/>
        <v>圖書 book</v>
      </c>
      <c r="I516" t="str">
        <f>("PE1128 H263 1994 v.2")</f>
        <v>PE1128 H263 1994 v.2</v>
      </c>
      <c r="J516" t="str">
        <f>("0194513084;0194513076")</f>
        <v>0194513084;0194513076</v>
      </c>
      <c r="K516" t="str">
        <f>("448")</f>
        <v>448</v>
      </c>
      <c r="L516" t="str">
        <f t="shared" si="196"/>
        <v>2001/10/10 00:00:00</v>
      </c>
      <c r="M516" t="str">
        <f t="shared" si="216"/>
        <v>2018/08/11 13:34:28</v>
      </c>
      <c r="N516" t="str">
        <f>("1994")</f>
        <v>1994</v>
      </c>
      <c r="O516" t="str">
        <f t="shared" si="212"/>
        <v>4F西文書庫 4F Western Language Books</v>
      </c>
      <c r="P516" t="s">
        <v>64</v>
      </c>
      <c r="W516" t="str">
        <f t="shared" si="211"/>
        <v>美國國會圖書分類法</v>
      </c>
      <c r="Y516" t="str">
        <f>("PE1128")</f>
        <v>PE1128</v>
      </c>
      <c r="Z516" t="str">
        <f t="shared" si="217"/>
        <v>2018/08/11 13:34:28</v>
      </c>
      <c r="AA516" t="str">
        <f t="shared" si="193"/>
        <v>catc</v>
      </c>
      <c r="AC516" t="str">
        <f>("H263")</f>
        <v>H263</v>
      </c>
      <c r="AD516" t="str">
        <f>("v.2")</f>
        <v>v.2</v>
      </c>
      <c r="AE516" t="str">
        <f t="shared" si="215"/>
        <v>c.1</v>
      </c>
      <c r="AF516" t="str">
        <f t="shared" si="213"/>
        <v>1.可借圖書</v>
      </c>
      <c r="AG516" t="str">
        <f t="shared" si="214"/>
        <v>在架</v>
      </c>
      <c r="AI516" t="s">
        <v>65</v>
      </c>
      <c r="AK516" t="str">
        <f t="shared" si="194"/>
        <v>一般(Normal)</v>
      </c>
      <c r="AO516" t="s">
        <v>65</v>
      </c>
      <c r="AS516" t="str">
        <f>("c1994.")</f>
        <v>c1994.</v>
      </c>
      <c r="AT516" t="str">
        <f t="shared" si="195"/>
        <v>catc</v>
      </c>
    </row>
    <row r="517" spans="1:46" x14ac:dyDescent="0.25">
      <c r="A517">
        <v>506</v>
      </c>
      <c r="B517" t="str">
        <f>("289359")</f>
        <v>289359</v>
      </c>
      <c r="C517" t="str">
        <f>("W00002542")</f>
        <v>W00002542</v>
      </c>
      <c r="D517" t="str">
        <f>("Commercially/")</f>
        <v>Commercially/</v>
      </c>
      <c r="E517" t="str">
        <f>("Irvine Mark.")</f>
        <v>Irvine Mark.</v>
      </c>
      <c r="F517" t="str">
        <f t="shared" si="218"/>
        <v>Oxford University Press,</v>
      </c>
      <c r="H517" t="str">
        <f t="shared" si="201"/>
        <v>圖書 book</v>
      </c>
      <c r="I517" t="str">
        <f>("PE1115 I72 1995")</f>
        <v>PE1115 I72 1995</v>
      </c>
      <c r="J517" t="str">
        <f>("0194572307")</f>
        <v>0194572307</v>
      </c>
      <c r="K517" t="str">
        <f>("482")</f>
        <v>482</v>
      </c>
      <c r="L517" t="str">
        <f t="shared" si="196"/>
        <v>2001/10/10 00:00:00</v>
      </c>
      <c r="M517" t="str">
        <f t="shared" si="216"/>
        <v>2018/08/11 13:34:28</v>
      </c>
      <c r="N517" t="str">
        <f>("1995")</f>
        <v>1995</v>
      </c>
      <c r="O517" t="str">
        <f t="shared" si="212"/>
        <v>4F西文書庫 4F Western Language Books</v>
      </c>
      <c r="P517" t="s">
        <v>64</v>
      </c>
      <c r="W517" t="str">
        <f t="shared" si="211"/>
        <v>美國國會圖書分類法</v>
      </c>
      <c r="Y517" t="str">
        <f>("PE1115")</f>
        <v>PE1115</v>
      </c>
      <c r="Z517" t="str">
        <f t="shared" si="217"/>
        <v>2018/08/11 13:34:28</v>
      </c>
      <c r="AA517" t="str">
        <f t="shared" si="193"/>
        <v>catc</v>
      </c>
      <c r="AC517" t="str">
        <f>("I72")</f>
        <v>I72</v>
      </c>
      <c r="AE517" t="str">
        <f t="shared" si="215"/>
        <v>c.1</v>
      </c>
      <c r="AF517" t="str">
        <f t="shared" si="213"/>
        <v>1.可借圖書</v>
      </c>
      <c r="AG517" t="str">
        <f t="shared" si="214"/>
        <v>在架</v>
      </c>
      <c r="AI517" t="s">
        <v>65</v>
      </c>
      <c r="AK517" t="str">
        <f t="shared" si="194"/>
        <v>一般(Normal)</v>
      </c>
      <c r="AO517" t="s">
        <v>65</v>
      </c>
      <c r="AS517" t="str">
        <f>("c1995.")</f>
        <v>c1995.</v>
      </c>
      <c r="AT517" t="str">
        <f t="shared" si="195"/>
        <v>catc</v>
      </c>
    </row>
    <row r="518" spans="1:46" x14ac:dyDescent="0.25">
      <c r="A518">
        <v>507</v>
      </c>
      <c r="B518" t="str">
        <f>("289360")</f>
        <v>289360</v>
      </c>
      <c r="C518" t="str">
        <f>("W00002543")</f>
        <v>W00002543</v>
      </c>
      <c r="D518" t="str">
        <f>("Business opportunities /")</f>
        <v>Business opportunities /</v>
      </c>
      <c r="E518" t="str">
        <f>("Hollett, Vicki.")</f>
        <v>Hollett, Vicki.</v>
      </c>
      <c r="F518" t="str">
        <f t="shared" si="218"/>
        <v>Oxford University Press,</v>
      </c>
      <c r="H518" t="str">
        <f t="shared" si="201"/>
        <v>圖書 book</v>
      </c>
      <c r="I518" t="str">
        <f>("PE1115 H738 1994 v.1")</f>
        <v>PE1115 H738 1994 v.1</v>
      </c>
      <c r="J518" t="str">
        <f>("0194520285;0194520293")</f>
        <v>0194520285;0194520293</v>
      </c>
      <c r="K518" t="str">
        <f>("549")</f>
        <v>549</v>
      </c>
      <c r="L518" t="str">
        <f t="shared" si="196"/>
        <v>2001/10/10 00:00:00</v>
      </c>
      <c r="M518" t="str">
        <f t="shared" si="216"/>
        <v>2018/08/11 13:34:28</v>
      </c>
      <c r="N518" t="str">
        <f>("1994")</f>
        <v>1994</v>
      </c>
      <c r="O518" t="str">
        <f t="shared" si="212"/>
        <v>4F西文書庫 4F Western Language Books</v>
      </c>
      <c r="P518" t="s">
        <v>64</v>
      </c>
      <c r="W518" t="str">
        <f t="shared" si="211"/>
        <v>美國國會圖書分類法</v>
      </c>
      <c r="Y518" t="str">
        <f>("PE1115")</f>
        <v>PE1115</v>
      </c>
      <c r="Z518" t="str">
        <f t="shared" si="217"/>
        <v>2018/08/11 13:34:28</v>
      </c>
      <c r="AA518" t="str">
        <f t="shared" si="193"/>
        <v>catc</v>
      </c>
      <c r="AC518" t="str">
        <f>("H738")</f>
        <v>H738</v>
      </c>
      <c r="AD518" t="str">
        <f>("v.1")</f>
        <v>v.1</v>
      </c>
      <c r="AE518" t="str">
        <f t="shared" si="215"/>
        <v>c.1</v>
      </c>
      <c r="AF518" t="str">
        <f t="shared" si="213"/>
        <v>1.可借圖書</v>
      </c>
      <c r="AG518" t="str">
        <f t="shared" si="214"/>
        <v>在架</v>
      </c>
      <c r="AI518" t="s">
        <v>65</v>
      </c>
      <c r="AK518" t="str">
        <f t="shared" si="194"/>
        <v>一般(Normal)</v>
      </c>
      <c r="AO518" t="s">
        <v>65</v>
      </c>
      <c r="AS518" t="str">
        <f>("c1994.")</f>
        <v>c1994.</v>
      </c>
      <c r="AT518" t="str">
        <f t="shared" si="195"/>
        <v>catc</v>
      </c>
    </row>
    <row r="519" spans="1:46" x14ac:dyDescent="0.25">
      <c r="A519">
        <v>508</v>
      </c>
      <c r="B519" t="str">
        <f>("289370")</f>
        <v>289370</v>
      </c>
      <c r="C519" t="str">
        <f>("W00002544")</f>
        <v>W00002544</v>
      </c>
      <c r="D519" t="str">
        <f>("Business Basic /")</f>
        <v>Business Basic /</v>
      </c>
      <c r="E519" t="str">
        <f>("Grant David.")</f>
        <v>Grant David.</v>
      </c>
      <c r="F519" t="str">
        <f t="shared" si="218"/>
        <v>Oxford University Press,</v>
      </c>
      <c r="H519" t="str">
        <f t="shared" si="201"/>
        <v>圖書 book</v>
      </c>
      <c r="I519" t="str">
        <f>("PE1115 G761 1995 v.2")</f>
        <v>PE1115 G761 1995 v.2</v>
      </c>
      <c r="J519" t="str">
        <f>("0194572080;0194572099")</f>
        <v>0194572080;0194572099</v>
      </c>
      <c r="K519" t="str">
        <f>("448")</f>
        <v>448</v>
      </c>
      <c r="L519" t="str">
        <f t="shared" si="196"/>
        <v>2001/10/10 00:00:00</v>
      </c>
      <c r="M519" t="str">
        <f t="shared" si="216"/>
        <v>2018/08/11 13:34:28</v>
      </c>
      <c r="N519" t="str">
        <f>("1995")</f>
        <v>1995</v>
      </c>
      <c r="O519" t="str">
        <f t="shared" si="212"/>
        <v>4F西文書庫 4F Western Language Books</v>
      </c>
      <c r="P519" t="s">
        <v>64</v>
      </c>
      <c r="W519" t="str">
        <f t="shared" si="211"/>
        <v>美國國會圖書分類法</v>
      </c>
      <c r="Y519" t="str">
        <f>("PE1115")</f>
        <v>PE1115</v>
      </c>
      <c r="Z519" t="str">
        <f t="shared" si="217"/>
        <v>2018/08/11 13:34:28</v>
      </c>
      <c r="AA519" t="str">
        <f t="shared" si="193"/>
        <v>catc</v>
      </c>
      <c r="AC519" t="str">
        <f>("G761")</f>
        <v>G761</v>
      </c>
      <c r="AD519" t="str">
        <f>("v.2")</f>
        <v>v.2</v>
      </c>
      <c r="AE519" t="str">
        <f t="shared" si="215"/>
        <v>c.1</v>
      </c>
      <c r="AF519" t="str">
        <f t="shared" si="213"/>
        <v>1.可借圖書</v>
      </c>
      <c r="AG519" t="str">
        <f t="shared" si="214"/>
        <v>在架</v>
      </c>
      <c r="AI519" t="s">
        <v>65</v>
      </c>
      <c r="AK519" t="str">
        <f t="shared" si="194"/>
        <v>一般(Normal)</v>
      </c>
      <c r="AO519" t="s">
        <v>65</v>
      </c>
      <c r="AS519" t="str">
        <f>("c1995.")</f>
        <v>c1995.</v>
      </c>
      <c r="AT519" t="str">
        <f t="shared" si="195"/>
        <v>catc</v>
      </c>
    </row>
    <row r="520" spans="1:46" x14ac:dyDescent="0.25">
      <c r="A520">
        <v>509</v>
      </c>
      <c r="B520" t="str">
        <f>("289368")</f>
        <v>289368</v>
      </c>
      <c r="C520" t="str">
        <f>("W00002545")</f>
        <v>W00002545</v>
      </c>
      <c r="D520" t="str">
        <f>("Business objectives /")</f>
        <v>Business objectives /</v>
      </c>
      <c r="E520" t="str">
        <f>("Hollett, Vicki")</f>
        <v>Hollett, Vicki</v>
      </c>
      <c r="F520" t="str">
        <f t="shared" si="218"/>
        <v>Oxford University Press,</v>
      </c>
      <c r="G520" t="str">
        <f>("new ed.")</f>
        <v>new ed.</v>
      </c>
      <c r="H520" t="str">
        <f t="shared" si="201"/>
        <v>圖書 book</v>
      </c>
      <c r="I520" t="str">
        <f>("Z151 V636 1996 c.2")</f>
        <v>Z151 V636 1996 c.2</v>
      </c>
      <c r="J520" t="str">
        <f>("0194513912")</f>
        <v>0194513912</v>
      </c>
      <c r="K520" t="str">
        <f>("504")</f>
        <v>504</v>
      </c>
      <c r="L520" t="str">
        <f t="shared" si="196"/>
        <v>2001/10/10 00:00:00</v>
      </c>
      <c r="M520" t="str">
        <f>("2018/08/11 13:34:27")</f>
        <v>2018/08/11 13:34:27</v>
      </c>
      <c r="N520" t="str">
        <f>("1996")</f>
        <v>1996</v>
      </c>
      <c r="O520" t="str">
        <f t="shared" si="212"/>
        <v>4F西文書庫 4F Western Language Books</v>
      </c>
      <c r="P520" t="s">
        <v>64</v>
      </c>
      <c r="W520" t="str">
        <f t="shared" si="211"/>
        <v>美國國會圖書分類法</v>
      </c>
      <c r="Y520" t="str">
        <f>("Z151")</f>
        <v>Z151</v>
      </c>
      <c r="Z520" t="str">
        <f>("2018/08/11 13:34:27")</f>
        <v>2018/08/11 13:34:27</v>
      </c>
      <c r="AA520" t="str">
        <f t="shared" si="193"/>
        <v>catc</v>
      </c>
      <c r="AC520" t="str">
        <f>("V636")</f>
        <v>V636</v>
      </c>
      <c r="AE520" t="str">
        <f>("c.2")</f>
        <v>c.2</v>
      </c>
      <c r="AF520" t="str">
        <f t="shared" si="213"/>
        <v>1.可借圖書</v>
      </c>
      <c r="AG520" t="str">
        <f t="shared" si="214"/>
        <v>在架</v>
      </c>
      <c r="AI520" t="s">
        <v>65</v>
      </c>
      <c r="AK520" t="str">
        <f t="shared" si="194"/>
        <v>一般(Normal)</v>
      </c>
      <c r="AO520" t="s">
        <v>65</v>
      </c>
      <c r="AS520" t="str">
        <f>("c1996")</f>
        <v>c1996</v>
      </c>
      <c r="AT520" t="str">
        <f t="shared" si="195"/>
        <v>catc</v>
      </c>
    </row>
    <row r="521" spans="1:46" x14ac:dyDescent="0.25">
      <c r="A521">
        <v>510</v>
      </c>
      <c r="B521" t="str">
        <f>("289360")</f>
        <v>289360</v>
      </c>
      <c r="C521" t="str">
        <f>("W00002546")</f>
        <v>W00002546</v>
      </c>
      <c r="D521" t="str">
        <f>("Business opportunities /")</f>
        <v>Business opportunities /</v>
      </c>
      <c r="E521" t="str">
        <f>("Hollett, Vicki.")</f>
        <v>Hollett, Vicki.</v>
      </c>
      <c r="F521" t="str">
        <f t="shared" si="218"/>
        <v>Oxford University Press,</v>
      </c>
      <c r="H521" t="str">
        <f t="shared" si="201"/>
        <v>圖書 book</v>
      </c>
      <c r="I521" t="str">
        <f>("PE1115 H738 1994 v.2")</f>
        <v>PE1115 H738 1994 v.2</v>
      </c>
      <c r="J521" t="str">
        <f>("0194520285;0194520293")</f>
        <v>0194520285;0194520293</v>
      </c>
      <c r="K521" t="str">
        <f>("448")</f>
        <v>448</v>
      </c>
      <c r="L521" t="str">
        <f t="shared" si="196"/>
        <v>2001/10/10 00:00:00</v>
      </c>
      <c r="M521" t="str">
        <f>("2018/08/11 13:34:28")</f>
        <v>2018/08/11 13:34:28</v>
      </c>
      <c r="N521" t="str">
        <f>("1994")</f>
        <v>1994</v>
      </c>
      <c r="O521" t="str">
        <f t="shared" si="212"/>
        <v>4F西文書庫 4F Western Language Books</v>
      </c>
      <c r="P521" t="s">
        <v>64</v>
      </c>
      <c r="W521" t="str">
        <f t="shared" si="211"/>
        <v>美國國會圖書分類法</v>
      </c>
      <c r="Y521" t="str">
        <f>("PE1115")</f>
        <v>PE1115</v>
      </c>
      <c r="Z521" t="str">
        <f t="shared" ref="Z521:Z526" si="219">("2018/08/11 13:34:28")</f>
        <v>2018/08/11 13:34:28</v>
      </c>
      <c r="AA521" t="str">
        <f t="shared" si="193"/>
        <v>catc</v>
      </c>
      <c r="AC521" t="str">
        <f>("H738")</f>
        <v>H738</v>
      </c>
      <c r="AD521" t="str">
        <f>("v.2")</f>
        <v>v.2</v>
      </c>
      <c r="AE521" t="str">
        <f t="shared" ref="AE521:AE532" si="220">("c.1")</f>
        <v>c.1</v>
      </c>
      <c r="AF521" t="str">
        <f t="shared" si="213"/>
        <v>1.可借圖書</v>
      </c>
      <c r="AG521" t="str">
        <f t="shared" si="214"/>
        <v>在架</v>
      </c>
      <c r="AI521" t="s">
        <v>65</v>
      </c>
      <c r="AK521" t="str">
        <f t="shared" si="194"/>
        <v>一般(Normal)</v>
      </c>
      <c r="AO521" t="s">
        <v>65</v>
      </c>
      <c r="AS521" t="str">
        <f>("c1994.")</f>
        <v>c1994.</v>
      </c>
      <c r="AT521" t="str">
        <f t="shared" si="195"/>
        <v>catc</v>
      </c>
    </row>
    <row r="522" spans="1:46" x14ac:dyDescent="0.25">
      <c r="A522">
        <v>511</v>
      </c>
      <c r="B522" t="str">
        <f>("289358")</f>
        <v>289358</v>
      </c>
      <c r="C522" t="str">
        <f>("W00002547")</f>
        <v>W00002547</v>
      </c>
      <c r="D522" t="str">
        <f>("High season :English for the hotel and tourist industry /")</f>
        <v>High season :English for the hotel and tourist industry /</v>
      </c>
      <c r="E522" t="str">
        <f>("Harding, Keith.")</f>
        <v>Harding, Keith.</v>
      </c>
      <c r="F522" t="str">
        <f t="shared" si="218"/>
        <v>Oxford University Press,</v>
      </c>
      <c r="H522" t="str">
        <f t="shared" si="201"/>
        <v>圖書 book</v>
      </c>
      <c r="I522" t="str">
        <f>("PE1128 H263 1994 v.1")</f>
        <v>PE1128 H263 1994 v.1</v>
      </c>
      <c r="J522" t="str">
        <f>("0194513084;0194513076")</f>
        <v>0194513084;0194513076</v>
      </c>
      <c r="K522" t="str">
        <f>("560")</f>
        <v>560</v>
      </c>
      <c r="L522" t="str">
        <f t="shared" si="196"/>
        <v>2001/10/10 00:00:00</v>
      </c>
      <c r="M522" t="str">
        <f>("2018/08/11 13:34:28")</f>
        <v>2018/08/11 13:34:28</v>
      </c>
      <c r="N522" t="str">
        <f>("1994")</f>
        <v>1994</v>
      </c>
      <c r="O522" t="str">
        <f t="shared" si="212"/>
        <v>4F西文書庫 4F Western Language Books</v>
      </c>
      <c r="P522" t="s">
        <v>64</v>
      </c>
      <c r="W522" t="str">
        <f t="shared" si="211"/>
        <v>美國國會圖書分類法</v>
      </c>
      <c r="Y522" t="str">
        <f>("PE1128")</f>
        <v>PE1128</v>
      </c>
      <c r="Z522" t="str">
        <f t="shared" si="219"/>
        <v>2018/08/11 13:34:28</v>
      </c>
      <c r="AA522" t="str">
        <f t="shared" si="193"/>
        <v>catc</v>
      </c>
      <c r="AC522" t="str">
        <f>("H263")</f>
        <v>H263</v>
      </c>
      <c r="AD522" t="str">
        <f>("v.1")</f>
        <v>v.1</v>
      </c>
      <c r="AE522" t="str">
        <f t="shared" si="220"/>
        <v>c.1</v>
      </c>
      <c r="AF522" t="str">
        <f t="shared" si="213"/>
        <v>1.可借圖書</v>
      </c>
      <c r="AG522" t="str">
        <f t="shared" si="214"/>
        <v>在架</v>
      </c>
      <c r="AI522" t="s">
        <v>65</v>
      </c>
      <c r="AK522" t="str">
        <f t="shared" si="194"/>
        <v>一般(Normal)</v>
      </c>
      <c r="AO522" t="s">
        <v>65</v>
      </c>
      <c r="AS522" t="str">
        <f>("c1994.")</f>
        <v>c1994.</v>
      </c>
      <c r="AT522" t="str">
        <f t="shared" si="195"/>
        <v>catc</v>
      </c>
    </row>
    <row r="523" spans="1:46" x14ac:dyDescent="0.25">
      <c r="A523">
        <v>512</v>
      </c>
      <c r="B523" t="str">
        <f>("289381")</f>
        <v>289381</v>
      </c>
      <c r="C523" t="str">
        <f>("W00002548")</f>
        <v>W00002548</v>
      </c>
      <c r="D523" t="str">
        <f>("Internet English/")</f>
        <v>Internet English/</v>
      </c>
      <c r="E523" t="str">
        <f>("Gitsaki Christina.")</f>
        <v>Gitsaki Christina.</v>
      </c>
      <c r="F523" t="str">
        <f t="shared" si="218"/>
        <v>Oxford University Press,</v>
      </c>
      <c r="H523" t="str">
        <f t="shared" si="201"/>
        <v>圖書 book</v>
      </c>
      <c r="I523" t="str">
        <f>("PE1115 G536 2000")</f>
        <v>PE1115 G536 2000</v>
      </c>
      <c r="J523" t="str">
        <f>("0194372278")</f>
        <v>0194372278</v>
      </c>
      <c r="K523" t="str">
        <f>("627")</f>
        <v>627</v>
      </c>
      <c r="L523" t="str">
        <f t="shared" si="196"/>
        <v>2001/10/10 00:00:00</v>
      </c>
      <c r="M523" t="str">
        <f>("2018/08/11 13:34:28")</f>
        <v>2018/08/11 13:34:28</v>
      </c>
      <c r="N523" t="str">
        <f>("2000")</f>
        <v>2000</v>
      </c>
      <c r="O523" t="str">
        <f t="shared" si="212"/>
        <v>4F西文書庫 4F Western Language Books</v>
      </c>
      <c r="P523" t="s">
        <v>64</v>
      </c>
      <c r="W523" t="str">
        <f t="shared" si="211"/>
        <v>美國國會圖書分類法</v>
      </c>
      <c r="Y523" t="str">
        <f>("PE1115")</f>
        <v>PE1115</v>
      </c>
      <c r="Z523" t="str">
        <f t="shared" si="219"/>
        <v>2018/08/11 13:34:28</v>
      </c>
      <c r="AA523" t="str">
        <f t="shared" si="193"/>
        <v>catc</v>
      </c>
      <c r="AC523" t="str">
        <f>("G536")</f>
        <v>G536</v>
      </c>
      <c r="AE523" t="str">
        <f t="shared" si="220"/>
        <v>c.1</v>
      </c>
      <c r="AF523" t="str">
        <f t="shared" si="213"/>
        <v>1.可借圖書</v>
      </c>
      <c r="AG523" t="str">
        <f t="shared" si="214"/>
        <v>在架</v>
      </c>
      <c r="AI523" t="s">
        <v>65</v>
      </c>
      <c r="AK523" t="str">
        <f t="shared" si="194"/>
        <v>一般(Normal)</v>
      </c>
      <c r="AO523" t="s">
        <v>65</v>
      </c>
      <c r="AS523" t="str">
        <f>("c2000.")</f>
        <v>c2000.</v>
      </c>
      <c r="AT523" t="str">
        <f t="shared" si="195"/>
        <v>catc</v>
      </c>
    </row>
    <row r="524" spans="1:46" x14ac:dyDescent="0.25">
      <c r="A524">
        <v>513</v>
      </c>
      <c r="B524" t="str">
        <f>("289373")</f>
        <v>289373</v>
      </c>
      <c r="C524" t="str">
        <f>("W00002549")</f>
        <v>W00002549</v>
      </c>
      <c r="D524" t="str">
        <f>("Central News : Activity Book/ ")</f>
        <v xml:space="preserve">Central News : Activity Book/ </v>
      </c>
      <c r="E524" t="str">
        <f>("Cornish Tony")</f>
        <v>Cornish Tony</v>
      </c>
      <c r="F524" t="str">
        <f>("Oxford, ")</f>
        <v xml:space="preserve">Oxford, </v>
      </c>
      <c r="H524" t="str">
        <f t="shared" si="201"/>
        <v>圖書 book</v>
      </c>
      <c r="I524" t="str">
        <f>("Z151 C818 1991")</f>
        <v>Z151 C818 1991</v>
      </c>
      <c r="J524" t="str">
        <f>("0194583643;0194583740;0194585743")</f>
        <v>0194583643;0194583740;0194585743</v>
      </c>
      <c r="K524" t="str">
        <f>("360")</f>
        <v>360</v>
      </c>
      <c r="L524" t="str">
        <f t="shared" si="196"/>
        <v>2001/10/10 00:00:00</v>
      </c>
      <c r="M524" t="str">
        <f>("2018/08/11 13:34:28")</f>
        <v>2018/08/11 13:34:28</v>
      </c>
      <c r="N524" t="str">
        <f>("1991")</f>
        <v>1991</v>
      </c>
      <c r="O524" t="str">
        <f t="shared" si="212"/>
        <v>4F西文書庫 4F Western Language Books</v>
      </c>
      <c r="P524" t="s">
        <v>64</v>
      </c>
      <c r="W524" t="str">
        <f t="shared" si="211"/>
        <v>美國國會圖書分類法</v>
      </c>
      <c r="Y524" t="str">
        <f>("Z151")</f>
        <v>Z151</v>
      </c>
      <c r="Z524" t="str">
        <f t="shared" si="219"/>
        <v>2018/08/11 13:34:28</v>
      </c>
      <c r="AA524" t="str">
        <f t="shared" ref="AA524:AA587" si="221">("catc")</f>
        <v>catc</v>
      </c>
      <c r="AC524" t="str">
        <f>("C818")</f>
        <v>C818</v>
      </c>
      <c r="AE524" t="str">
        <f t="shared" si="220"/>
        <v>c.1</v>
      </c>
      <c r="AF524" t="str">
        <f t="shared" si="213"/>
        <v>1.可借圖書</v>
      </c>
      <c r="AG524" t="str">
        <f t="shared" si="214"/>
        <v>在架</v>
      </c>
      <c r="AI524" t="s">
        <v>65</v>
      </c>
      <c r="AK524" t="str">
        <f t="shared" ref="AK524:AK587" si="222">("一般(Normal)")</f>
        <v>一般(Normal)</v>
      </c>
      <c r="AO524" t="s">
        <v>65</v>
      </c>
      <c r="AS524" t="str">
        <f>("1991.")</f>
        <v>1991.</v>
      </c>
      <c r="AT524" t="str">
        <f t="shared" ref="AT524:AT587" si="223">("catc")</f>
        <v>catc</v>
      </c>
    </row>
    <row r="525" spans="1:46" x14ac:dyDescent="0.25">
      <c r="A525">
        <v>514</v>
      </c>
      <c r="B525" t="str">
        <f>("289373")</f>
        <v>289373</v>
      </c>
      <c r="C525" t="str">
        <f>("W00002550")</f>
        <v>W00002550</v>
      </c>
      <c r="D525" t="str">
        <f>("Central News : Activity Book/ ")</f>
        <v xml:space="preserve">Central News : Activity Book/ </v>
      </c>
      <c r="E525" t="str">
        <f>("Cornish Tony")</f>
        <v>Cornish Tony</v>
      </c>
      <c r="F525" t="str">
        <f>("Oxford, ")</f>
        <v xml:space="preserve">Oxford, </v>
      </c>
      <c r="H525" t="str">
        <f t="shared" si="201"/>
        <v>圖書 book</v>
      </c>
      <c r="I525" t="str">
        <f>("Z151 C818 1991")</f>
        <v>Z151 C818 1991</v>
      </c>
      <c r="J525" t="str">
        <f>("0194583643;0194583740;0194585743")</f>
        <v>0194583643;0194583740;0194585743</v>
      </c>
      <c r="K525" t="str">
        <f>("360")</f>
        <v>360</v>
      </c>
      <c r="L525" t="str">
        <f t="shared" si="196"/>
        <v>2001/10/10 00:00:00</v>
      </c>
      <c r="M525" t="str">
        <f>("2018/08/11 13:34:29")</f>
        <v>2018/08/11 13:34:29</v>
      </c>
      <c r="N525" t="str">
        <f>("1991")</f>
        <v>1991</v>
      </c>
      <c r="O525" t="str">
        <f t="shared" si="212"/>
        <v>4F西文書庫 4F Western Language Books</v>
      </c>
      <c r="P525" t="s">
        <v>64</v>
      </c>
      <c r="W525" t="str">
        <f t="shared" si="211"/>
        <v>美國國會圖書分類法</v>
      </c>
      <c r="Y525" t="str">
        <f>("Z151")</f>
        <v>Z151</v>
      </c>
      <c r="Z525" t="str">
        <f t="shared" si="219"/>
        <v>2018/08/11 13:34:28</v>
      </c>
      <c r="AA525" t="str">
        <f t="shared" si="221"/>
        <v>catc</v>
      </c>
      <c r="AC525" t="str">
        <f>("C818")</f>
        <v>C818</v>
      </c>
      <c r="AE525" t="str">
        <f t="shared" si="220"/>
        <v>c.1</v>
      </c>
      <c r="AF525" t="str">
        <f t="shared" si="213"/>
        <v>1.可借圖書</v>
      </c>
      <c r="AG525" t="str">
        <f t="shared" si="214"/>
        <v>在架</v>
      </c>
      <c r="AI525" t="s">
        <v>65</v>
      </c>
      <c r="AK525" t="str">
        <f t="shared" si="222"/>
        <v>一般(Normal)</v>
      </c>
      <c r="AO525" t="s">
        <v>65</v>
      </c>
      <c r="AS525" t="str">
        <f>("1991.")</f>
        <v>1991.</v>
      </c>
      <c r="AT525" t="str">
        <f t="shared" si="223"/>
        <v>catc</v>
      </c>
    </row>
    <row r="526" spans="1:46" x14ac:dyDescent="0.25">
      <c r="A526">
        <v>515</v>
      </c>
      <c r="B526" t="str">
        <f>("289373")</f>
        <v>289373</v>
      </c>
      <c r="C526" t="str">
        <f>("W00002551")</f>
        <v>W00002551</v>
      </c>
      <c r="D526" t="str">
        <f>("Central News : Activity Book/ ")</f>
        <v xml:space="preserve">Central News : Activity Book/ </v>
      </c>
      <c r="E526" t="str">
        <f>("Cornish Tony")</f>
        <v>Cornish Tony</v>
      </c>
      <c r="F526" t="str">
        <f>("Oxford, ")</f>
        <v xml:space="preserve">Oxford, </v>
      </c>
      <c r="H526" t="str">
        <f t="shared" si="201"/>
        <v>圖書 book</v>
      </c>
      <c r="I526" t="str">
        <f>("Z151 C818 1991")</f>
        <v>Z151 C818 1991</v>
      </c>
      <c r="J526" t="str">
        <f>("0194583643;0194583740;0194585743")</f>
        <v>0194583643;0194583740;0194585743</v>
      </c>
      <c r="K526" t="str">
        <f>("384")</f>
        <v>384</v>
      </c>
      <c r="L526" t="str">
        <f t="shared" ref="L526:L589" si="224">("2001/10/10 00:00:00")</f>
        <v>2001/10/10 00:00:00</v>
      </c>
      <c r="M526" t="str">
        <f>("2018/08/11 13:34:29")</f>
        <v>2018/08/11 13:34:29</v>
      </c>
      <c r="N526" t="str">
        <f>("1991")</f>
        <v>1991</v>
      </c>
      <c r="O526" t="str">
        <f t="shared" si="212"/>
        <v>4F西文書庫 4F Western Language Books</v>
      </c>
      <c r="P526" t="s">
        <v>64</v>
      </c>
      <c r="W526" t="str">
        <f t="shared" si="211"/>
        <v>美國國會圖書分類法</v>
      </c>
      <c r="Y526" t="str">
        <f>("Z151")</f>
        <v>Z151</v>
      </c>
      <c r="Z526" t="str">
        <f t="shared" si="219"/>
        <v>2018/08/11 13:34:28</v>
      </c>
      <c r="AA526" t="str">
        <f t="shared" si="221"/>
        <v>catc</v>
      </c>
      <c r="AC526" t="str">
        <f>("C818")</f>
        <v>C818</v>
      </c>
      <c r="AE526" t="str">
        <f t="shared" si="220"/>
        <v>c.1</v>
      </c>
      <c r="AF526" t="str">
        <f t="shared" si="213"/>
        <v>1.可借圖書</v>
      </c>
      <c r="AG526" t="str">
        <f t="shared" si="214"/>
        <v>在架</v>
      </c>
      <c r="AI526" t="s">
        <v>65</v>
      </c>
      <c r="AK526" t="str">
        <f t="shared" si="222"/>
        <v>一般(Normal)</v>
      </c>
      <c r="AO526" t="s">
        <v>65</v>
      </c>
      <c r="AS526" t="str">
        <f>("1991.")</f>
        <v>1991.</v>
      </c>
      <c r="AT526" t="str">
        <f t="shared" si="223"/>
        <v>catc</v>
      </c>
    </row>
    <row r="527" spans="1:46" x14ac:dyDescent="0.25">
      <c r="A527">
        <v>516</v>
      </c>
      <c r="B527" t="str">
        <f>("289374")</f>
        <v>289374</v>
      </c>
      <c r="C527" t="str">
        <f>("W00002552")</f>
        <v>W00002552</v>
      </c>
      <c r="D527" t="str">
        <f>("Museum mission statements :building a distinct identity /")</f>
        <v>Museum mission statements :building a distinct identity /</v>
      </c>
      <c r="E527" t="str">
        <f>("Anderson, Gail,1954- ")</f>
        <v xml:space="preserve">Anderson, Gail,1954- </v>
      </c>
      <c r="F527" t="str">
        <f>("American Association of Museums, [Technical Information Service],")</f>
        <v>American Association of Museums, [Technical Information Service],</v>
      </c>
      <c r="H527" t="str">
        <f t="shared" si="201"/>
        <v>圖書 book</v>
      </c>
      <c r="I527" t="str">
        <f>("AM11 A545 1998")</f>
        <v>AM11 A545 1998</v>
      </c>
      <c r="J527" t="str">
        <f>("0931201411")</f>
        <v>0931201411</v>
      </c>
      <c r="K527" t="str">
        <f>("700")</f>
        <v>700</v>
      </c>
      <c r="L527" t="str">
        <f t="shared" si="224"/>
        <v>2001/10/10 00:00:00</v>
      </c>
      <c r="M527" t="str">
        <f>("2018/08/11 13:34:29")</f>
        <v>2018/08/11 13:34:29</v>
      </c>
      <c r="N527" t="str">
        <f>("1998")</f>
        <v>1998</v>
      </c>
      <c r="O527" t="str">
        <f t="shared" si="212"/>
        <v>4F西文書庫 4F Western Language Books</v>
      </c>
      <c r="P527" t="s">
        <v>64</v>
      </c>
      <c r="W527" t="str">
        <f t="shared" si="211"/>
        <v>美國國會圖書分類法</v>
      </c>
      <c r="Y527" t="str">
        <f>("AM11")</f>
        <v>AM11</v>
      </c>
      <c r="Z527" t="str">
        <f>("2018/08/11 13:34:29")</f>
        <v>2018/08/11 13:34:29</v>
      </c>
      <c r="AA527" t="str">
        <f t="shared" si="221"/>
        <v>catc</v>
      </c>
      <c r="AC527" t="str">
        <f>("A545")</f>
        <v>A545</v>
      </c>
      <c r="AE527" t="str">
        <f t="shared" si="220"/>
        <v>c.1</v>
      </c>
      <c r="AF527" t="str">
        <f t="shared" si="213"/>
        <v>1.可借圖書</v>
      </c>
      <c r="AG527" t="str">
        <f t="shared" si="214"/>
        <v>在架</v>
      </c>
      <c r="AI527" t="s">
        <v>65</v>
      </c>
      <c r="AK527" t="str">
        <f t="shared" si="222"/>
        <v>一般(Normal)</v>
      </c>
      <c r="AO527" t="s">
        <v>65</v>
      </c>
      <c r="AS527" t="str">
        <f>("c1998 ")</f>
        <v xml:space="preserve">c1998 </v>
      </c>
      <c r="AT527" t="str">
        <f t="shared" si="223"/>
        <v>catc</v>
      </c>
    </row>
    <row r="528" spans="1:46" x14ac:dyDescent="0.25">
      <c r="A528">
        <v>517</v>
      </c>
      <c r="B528" t="str">
        <f>("289375")</f>
        <v>289375</v>
      </c>
      <c r="C528" t="str">
        <f>("W00002553")</f>
        <v>W00002553</v>
      </c>
      <c r="D528" t="str">
        <f>("Financial markets and institutions / ")</f>
        <v xml:space="preserve">Financial markets and institutions / </v>
      </c>
      <c r="E528" t="str">
        <f>("Mishkin, Frederic S. ")</f>
        <v xml:space="preserve">Mishkin, Frederic S. </v>
      </c>
      <c r="F528" t="str">
        <f>("Addison Wesley, ")</f>
        <v xml:space="preserve">Addison Wesley, </v>
      </c>
      <c r="G528" t="str">
        <f>("3rd ed. ")</f>
        <v xml:space="preserve">3rd ed. </v>
      </c>
      <c r="H528" t="str">
        <f t="shared" si="201"/>
        <v>圖書 book</v>
      </c>
      <c r="I528" t="str">
        <f>("HG181 M558-2 1999")</f>
        <v>HG181 M558-2 1999</v>
      </c>
      <c r="J528" t="str">
        <f>("0321050649")</f>
        <v>0321050649</v>
      </c>
      <c r="K528" t="str">
        <f>("1344")</f>
        <v>1344</v>
      </c>
      <c r="L528" t="str">
        <f t="shared" si="224"/>
        <v>2001/10/10 00:00:00</v>
      </c>
      <c r="M528" t="str">
        <f>("2018/08/11 13:34:29")</f>
        <v>2018/08/11 13:34:29</v>
      </c>
      <c r="N528" t="str">
        <f>("1999")</f>
        <v>1999</v>
      </c>
      <c r="O528" t="str">
        <f t="shared" si="212"/>
        <v>4F西文書庫 4F Western Language Books</v>
      </c>
      <c r="P528" t="s">
        <v>64</v>
      </c>
      <c r="W528" t="str">
        <f t="shared" si="211"/>
        <v>美國國會圖書分類法</v>
      </c>
      <c r="Y528" t="str">
        <f>("HG181")</f>
        <v>HG181</v>
      </c>
      <c r="Z528" t="str">
        <f>("2018/08/11 13:34:29")</f>
        <v>2018/08/11 13:34:29</v>
      </c>
      <c r="AA528" t="str">
        <f t="shared" si="221"/>
        <v>catc</v>
      </c>
      <c r="AC528" t="str">
        <f>("M558-2")</f>
        <v>M558-2</v>
      </c>
      <c r="AE528" t="str">
        <f t="shared" si="220"/>
        <v>c.1</v>
      </c>
      <c r="AF528" t="str">
        <f t="shared" si="213"/>
        <v>1.可借圖書</v>
      </c>
      <c r="AG528" t="str">
        <f t="shared" si="214"/>
        <v>在架</v>
      </c>
      <c r="AI528" t="s">
        <v>65</v>
      </c>
      <c r="AK528" t="str">
        <f t="shared" si="222"/>
        <v>一般(Normal)</v>
      </c>
      <c r="AO528" t="s">
        <v>65</v>
      </c>
      <c r="AS528" t="str">
        <f>("1999. ")</f>
        <v xml:space="preserve">1999. </v>
      </c>
      <c r="AT528" t="str">
        <f t="shared" si="223"/>
        <v>catc</v>
      </c>
    </row>
    <row r="529" spans="1:46" x14ac:dyDescent="0.25">
      <c r="A529">
        <v>518</v>
      </c>
      <c r="B529" t="str">
        <f>("287480")</f>
        <v>287480</v>
      </c>
      <c r="C529" t="str">
        <f>("W00002554")</f>
        <v>W00002554</v>
      </c>
      <c r="D529" t="str">
        <f>("Small business management : an entrepreneurial emphasis / ")</f>
        <v xml:space="preserve">Small business management : an entrepreneurial emphasis / </v>
      </c>
      <c r="E529" t="str">
        <f>("Longenecker, Justin Gooderl, 1917- ")</f>
        <v xml:space="preserve">Longenecker, Justin Gooderl, 1917- </v>
      </c>
      <c r="F529" t="str">
        <f>("South-Western College Pub., ")</f>
        <v xml:space="preserve">South-Western College Pub., </v>
      </c>
      <c r="G529" t="str">
        <f>("11th ed. ")</f>
        <v xml:space="preserve">11th ed. </v>
      </c>
      <c r="H529" t="str">
        <f t="shared" si="201"/>
        <v>圖書 book</v>
      </c>
      <c r="I529" t="str">
        <f>("HD62.7 L852 2000")</f>
        <v>HD62.7 L852 2000</v>
      </c>
      <c r="J529" t="str">
        <f>("0538890150")</f>
        <v>0538890150</v>
      </c>
      <c r="K529" t="str">
        <f>("735")</f>
        <v>735</v>
      </c>
      <c r="L529" t="str">
        <f t="shared" si="224"/>
        <v>2001/10/10 00:00:00</v>
      </c>
      <c r="M529" t="str">
        <f>("2018/08/11 13:31:23")</f>
        <v>2018/08/11 13:31:23</v>
      </c>
      <c r="N529" t="str">
        <f>("2000")</f>
        <v>2000</v>
      </c>
      <c r="O529" t="str">
        <f t="shared" si="212"/>
        <v>4F西文書庫 4F Western Language Books</v>
      </c>
      <c r="P529" t="s">
        <v>64</v>
      </c>
      <c r="S529" t="str">
        <f>("xxxi, 701 p. : ")</f>
        <v xml:space="preserve">xxxi, 701 p. : </v>
      </c>
      <c r="T529" t="str">
        <f>("col.ill. ; ")</f>
        <v xml:space="preserve">col.ill. ; </v>
      </c>
      <c r="U529" t="str">
        <f>("26 cm. ")</f>
        <v xml:space="preserve">26 cm. </v>
      </c>
      <c r="W529" t="str">
        <f t="shared" si="211"/>
        <v>美國國會圖書分類法</v>
      </c>
      <c r="Y529" t="str">
        <f>("HD62.7")</f>
        <v>HD62.7</v>
      </c>
      <c r="Z529" t="str">
        <f>("2018/08/11 13:31:23")</f>
        <v>2018/08/11 13:31:23</v>
      </c>
      <c r="AA529" t="str">
        <f t="shared" si="221"/>
        <v>catc</v>
      </c>
      <c r="AC529" t="str">
        <f>("L852")</f>
        <v>L852</v>
      </c>
      <c r="AE529" t="str">
        <f t="shared" si="220"/>
        <v>c.1</v>
      </c>
      <c r="AF529" t="str">
        <f t="shared" si="213"/>
        <v>1.可借圖書</v>
      </c>
      <c r="AG529" t="str">
        <f t="shared" si="214"/>
        <v>在架</v>
      </c>
      <c r="AI529" t="s">
        <v>65</v>
      </c>
      <c r="AK529" t="str">
        <f t="shared" si="222"/>
        <v>一般(Normal)</v>
      </c>
      <c r="AO529" t="s">
        <v>65</v>
      </c>
      <c r="AS529" t="str">
        <f>("c2000. ")</f>
        <v xml:space="preserve">c2000. </v>
      </c>
      <c r="AT529" t="str">
        <f t="shared" si="223"/>
        <v>catc</v>
      </c>
    </row>
    <row r="530" spans="1:46" x14ac:dyDescent="0.25">
      <c r="A530">
        <v>519</v>
      </c>
      <c r="B530" t="str">
        <f>("287370")</f>
        <v>287370</v>
      </c>
      <c r="C530" t="str">
        <f>("W00002555")</f>
        <v>W00002555</v>
      </c>
      <c r="D530" t="str">
        <f>("An introduction to classical econometric theory / ")</f>
        <v xml:space="preserve">An introduction to classical econometric theory / </v>
      </c>
      <c r="E530" t="str">
        <f>("Ruud, Paul Arthur. ")</f>
        <v xml:space="preserve">Ruud, Paul Arthur. </v>
      </c>
      <c r="F530" t="str">
        <f>("Oxford University Press, ")</f>
        <v xml:space="preserve">Oxford University Press, </v>
      </c>
      <c r="H530" t="str">
        <f t="shared" si="201"/>
        <v>圖書 book</v>
      </c>
      <c r="I530" t="str">
        <f>("HB139 R894 2000")</f>
        <v>HB139 R894 2000</v>
      </c>
      <c r="J530" t="str">
        <f>("0195111648")</f>
        <v>0195111648</v>
      </c>
      <c r="K530" t="str">
        <f>("1320")</f>
        <v>1320</v>
      </c>
      <c r="L530" t="str">
        <f t="shared" si="224"/>
        <v>2001/10/10 00:00:00</v>
      </c>
      <c r="M530" t="str">
        <f>("2018/08/11 13:31:05")</f>
        <v>2018/08/11 13:31:05</v>
      </c>
      <c r="N530" t="str">
        <f>("2000")</f>
        <v>2000</v>
      </c>
      <c r="O530" t="str">
        <f t="shared" si="212"/>
        <v>4F西文書庫 4F Western Language Books</v>
      </c>
      <c r="P530" t="s">
        <v>64</v>
      </c>
      <c r="S530" t="str">
        <f>("xxiv, 951 p. : ")</f>
        <v xml:space="preserve">xxiv, 951 p. : </v>
      </c>
      <c r="T530" t="str">
        <f>("ill. ; ")</f>
        <v xml:space="preserve">ill. ; </v>
      </c>
      <c r="U530" t="str">
        <f>("25 cm. ")</f>
        <v xml:space="preserve">25 cm. </v>
      </c>
      <c r="W530" t="str">
        <f t="shared" si="211"/>
        <v>美國國會圖書分類法</v>
      </c>
      <c r="Y530" t="str">
        <f>("HB139")</f>
        <v>HB139</v>
      </c>
      <c r="Z530" t="str">
        <f>("2018/08/11 13:31:04")</f>
        <v>2018/08/11 13:31:04</v>
      </c>
      <c r="AA530" t="str">
        <f t="shared" si="221"/>
        <v>catc</v>
      </c>
      <c r="AC530" t="str">
        <f>("R894")</f>
        <v>R894</v>
      </c>
      <c r="AE530" t="str">
        <f t="shared" si="220"/>
        <v>c.1</v>
      </c>
      <c r="AF530" t="str">
        <f t="shared" si="213"/>
        <v>1.可借圖書</v>
      </c>
      <c r="AG530" t="str">
        <f t="shared" si="214"/>
        <v>在架</v>
      </c>
      <c r="AI530" t="s">
        <v>65</v>
      </c>
      <c r="AK530" t="str">
        <f t="shared" si="222"/>
        <v>一般(Normal)</v>
      </c>
      <c r="AO530" t="s">
        <v>65</v>
      </c>
      <c r="AS530" t="str">
        <f>("2000. ")</f>
        <v xml:space="preserve">2000. </v>
      </c>
      <c r="AT530" t="str">
        <f t="shared" si="223"/>
        <v>catc</v>
      </c>
    </row>
    <row r="531" spans="1:46" x14ac:dyDescent="0.25">
      <c r="A531">
        <v>520</v>
      </c>
      <c r="B531" t="str">
        <f>("289382")</f>
        <v>289382</v>
      </c>
      <c r="C531" t="str">
        <f>("W00002556")</f>
        <v>W00002556</v>
      </c>
      <c r="D531" t="str">
        <f>("Intruction to marketing communication")</f>
        <v>Intruction to marketing communication</v>
      </c>
      <c r="E531" t="str">
        <f>("John, Burneet ")</f>
        <v xml:space="preserve">John, Burneet </v>
      </c>
      <c r="F531" t="str">
        <f>("Prentic Hill, ")</f>
        <v xml:space="preserve">Prentic Hill, </v>
      </c>
      <c r="H531" t="str">
        <f t="shared" si="201"/>
        <v>圖書 book</v>
      </c>
      <c r="I531" t="str">
        <f>("HF5415.1265 B964 2000")</f>
        <v>HF5415.1265 B964 2000</v>
      </c>
      <c r="J531" t="str">
        <f>("0138957568")</f>
        <v>0138957568</v>
      </c>
      <c r="K531" t="str">
        <f>("1152")</f>
        <v>1152</v>
      </c>
      <c r="L531" t="str">
        <f t="shared" si="224"/>
        <v>2001/10/10 00:00:00</v>
      </c>
      <c r="M531" t="str">
        <f>("2018/08/11 13:34:29")</f>
        <v>2018/08/11 13:34:29</v>
      </c>
      <c r="N531" t="str">
        <f>("2000")</f>
        <v>2000</v>
      </c>
      <c r="O531" t="str">
        <f t="shared" si="212"/>
        <v>4F西文書庫 4F Western Language Books</v>
      </c>
      <c r="P531" t="s">
        <v>64</v>
      </c>
      <c r="W531" t="str">
        <f t="shared" si="211"/>
        <v>美國國會圖書分類法</v>
      </c>
      <c r="Y531" t="str">
        <f>("HF5415.1265")</f>
        <v>HF5415.1265</v>
      </c>
      <c r="Z531" t="str">
        <f>("2018/08/11 13:34:29")</f>
        <v>2018/08/11 13:34:29</v>
      </c>
      <c r="AA531" t="str">
        <f t="shared" si="221"/>
        <v>catc</v>
      </c>
      <c r="AC531" t="str">
        <f>("B964")</f>
        <v>B964</v>
      </c>
      <c r="AE531" t="str">
        <f t="shared" si="220"/>
        <v>c.1</v>
      </c>
      <c r="AF531" t="str">
        <f t="shared" si="213"/>
        <v>1.可借圖書</v>
      </c>
      <c r="AG531" t="str">
        <f t="shared" si="214"/>
        <v>在架</v>
      </c>
      <c r="AI531" t="s">
        <v>65</v>
      </c>
      <c r="AK531" t="str">
        <f t="shared" si="222"/>
        <v>一般(Normal)</v>
      </c>
      <c r="AO531" t="s">
        <v>65</v>
      </c>
      <c r="AS531" t="str">
        <f>("2000.")</f>
        <v>2000.</v>
      </c>
      <c r="AT531" t="str">
        <f t="shared" si="223"/>
        <v>catc</v>
      </c>
    </row>
    <row r="532" spans="1:46" x14ac:dyDescent="0.25">
      <c r="A532">
        <v>521</v>
      </c>
      <c r="B532" t="str">
        <f>("289383")</f>
        <v>289383</v>
      </c>
      <c r="C532" t="str">
        <f>("W00002557")</f>
        <v>W00002557</v>
      </c>
      <c r="D532" t="str">
        <f>("Strategic management in the global economy / ")</f>
        <v xml:space="preserve">Strategic management in the global economy / </v>
      </c>
      <c r="E532" t="str">
        <f>("Vernon, Heidi, 1938- ;Wortzel, Lawrence H. ")</f>
        <v xml:space="preserve">Vernon, Heidi, 1938- ;Wortzel, Lawrence H. </v>
      </c>
      <c r="F532" t="str">
        <f>("John Wiley, ")</f>
        <v xml:space="preserve">John Wiley, </v>
      </c>
      <c r="G532" t="str">
        <f>("3rd ed. ")</f>
        <v xml:space="preserve">3rd ed. </v>
      </c>
      <c r="H532" t="str">
        <f t="shared" si="201"/>
        <v>圖書 book</v>
      </c>
      <c r="I532" t="str">
        <f>("HD62.4 V483 1997")</f>
        <v>HD62.4 V483 1997</v>
      </c>
      <c r="J532" t="str">
        <f>("0471158739")</f>
        <v>0471158739</v>
      </c>
      <c r="K532" t="str">
        <f>("1188")</f>
        <v>1188</v>
      </c>
      <c r="L532" t="str">
        <f t="shared" si="224"/>
        <v>2001/10/10 00:00:00</v>
      </c>
      <c r="M532" t="str">
        <f>("2018/08/11 13:34:29")</f>
        <v>2018/08/11 13:34:29</v>
      </c>
      <c r="N532" t="str">
        <f>("1997")</f>
        <v>1997</v>
      </c>
      <c r="O532" t="str">
        <f t="shared" si="212"/>
        <v>4F西文書庫 4F Western Language Books</v>
      </c>
      <c r="P532" t="s">
        <v>64</v>
      </c>
      <c r="W532" t="str">
        <f t="shared" si="211"/>
        <v>美國國會圖書分類法</v>
      </c>
      <c r="Y532" t="str">
        <f>("HD62.4")</f>
        <v>HD62.4</v>
      </c>
      <c r="Z532" t="str">
        <f>("2018/08/11 13:34:29")</f>
        <v>2018/08/11 13:34:29</v>
      </c>
      <c r="AA532" t="str">
        <f t="shared" si="221"/>
        <v>catc</v>
      </c>
      <c r="AC532" t="str">
        <f>("V483")</f>
        <v>V483</v>
      </c>
      <c r="AE532" t="str">
        <f t="shared" si="220"/>
        <v>c.1</v>
      </c>
      <c r="AF532" t="str">
        <f t="shared" si="213"/>
        <v>1.可借圖書</v>
      </c>
      <c r="AG532" t="str">
        <f t="shared" si="214"/>
        <v>在架</v>
      </c>
      <c r="AI532" t="s">
        <v>65</v>
      </c>
      <c r="AK532" t="str">
        <f t="shared" si="222"/>
        <v>一般(Normal)</v>
      </c>
      <c r="AO532" t="s">
        <v>65</v>
      </c>
      <c r="AS532" t="str">
        <f>("c1997. ")</f>
        <v xml:space="preserve">c1997. </v>
      </c>
      <c r="AT532" t="str">
        <f t="shared" si="223"/>
        <v>catc</v>
      </c>
    </row>
    <row r="533" spans="1:46" x14ac:dyDescent="0.25">
      <c r="A533">
        <v>522</v>
      </c>
      <c r="B533" t="str">
        <f>("288020")</f>
        <v>288020</v>
      </c>
      <c r="C533" t="str">
        <f>("W00002558")</f>
        <v>W00002558</v>
      </c>
      <c r="D533" t="str">
        <f>("Accounting information systems / ")</f>
        <v xml:space="preserve">Accounting information systems / </v>
      </c>
      <c r="E533" t="str">
        <f>("Romney, Marshall B. ")</f>
        <v xml:space="preserve">Romney, Marshall B. </v>
      </c>
      <c r="F533" t="str">
        <f>("Prentice Hall, ")</f>
        <v xml:space="preserve">Prentice Hall, </v>
      </c>
      <c r="G533" t="str">
        <f>("8th ed. ")</f>
        <v xml:space="preserve">8th ed. </v>
      </c>
      <c r="H533" t="str">
        <f t="shared" ref="H533:H596" si="225">("圖書 book")</f>
        <v>圖書 book</v>
      </c>
      <c r="I533" t="str">
        <f>("HF5679 R756-2 P927 1999 c.3")</f>
        <v>HF5679 R756-2 P927 1999 c.3</v>
      </c>
      <c r="J533" t="str">
        <f>("0201357216;0201357216")</f>
        <v>0201357216;0201357216</v>
      </c>
      <c r="K533" t="str">
        <f>("1320")</f>
        <v>1320</v>
      </c>
      <c r="L533" t="str">
        <f t="shared" si="224"/>
        <v>2001/10/10 00:00:00</v>
      </c>
      <c r="M533" t="str">
        <f>("2018/08/11 13:32:18")</f>
        <v>2018/08/11 13:32:18</v>
      </c>
      <c r="N533" t="str">
        <f>("1999")</f>
        <v>1999</v>
      </c>
      <c r="O533" t="str">
        <f>("罕用書庫1-洽櫃台填單 Upon-Request Collection1 fil")</f>
        <v>罕用書庫1-洽櫃台填單 Upon-Request Collection1 fil</v>
      </c>
      <c r="P533" t="s">
        <v>64</v>
      </c>
      <c r="S533" t="str">
        <f>("xxx, 796 p. :")</f>
        <v>xxx, 796 p. :</v>
      </c>
      <c r="T533" t="str">
        <f>("ill. ;")</f>
        <v>ill. ;</v>
      </c>
      <c r="U533" t="str">
        <f>("24 cm.")</f>
        <v>24 cm.</v>
      </c>
      <c r="W533" t="str">
        <f t="shared" si="211"/>
        <v>美國國會圖書分類法</v>
      </c>
      <c r="Y533" t="str">
        <f>("HF5679")</f>
        <v>HF5679</v>
      </c>
      <c r="Z533" t="str">
        <f>("2018/08/11 13:32:18")</f>
        <v>2018/08/11 13:32:18</v>
      </c>
      <c r="AA533" t="str">
        <f t="shared" si="221"/>
        <v>catc</v>
      </c>
      <c r="AC533" t="str">
        <f>("R756-2 P927")</f>
        <v>R756-2 P927</v>
      </c>
      <c r="AE533" t="str">
        <f>("c.3")</f>
        <v>c.3</v>
      </c>
      <c r="AF533" t="str">
        <f>("不流通")</f>
        <v>不流通</v>
      </c>
      <c r="AG533" t="str">
        <f>("報銷中")</f>
        <v>報銷中</v>
      </c>
      <c r="AI533" t="s">
        <v>65</v>
      </c>
      <c r="AK533" t="str">
        <f t="shared" si="222"/>
        <v>一般(Normal)</v>
      </c>
      <c r="AO533" t="s">
        <v>65</v>
      </c>
      <c r="AS533" t="str">
        <f>("1999. ")</f>
        <v xml:space="preserve">1999. </v>
      </c>
      <c r="AT533" t="str">
        <f t="shared" si="223"/>
        <v>catc</v>
      </c>
    </row>
    <row r="534" spans="1:46" x14ac:dyDescent="0.25">
      <c r="A534">
        <v>523</v>
      </c>
      <c r="B534" t="str">
        <f>("287541")</f>
        <v>287541</v>
      </c>
      <c r="C534" t="str">
        <f>("W00002559")</f>
        <v>W00002559</v>
      </c>
      <c r="D534" t="str">
        <f>("Business analysis &amp; valuation : using financial statements : text &amp; cases / ")</f>
        <v xml:space="preserve">Business analysis &amp; valuation : using financial statements : text &amp; cases / </v>
      </c>
      <c r="E534" t="str">
        <f>("Palepu, Krishna G., 1954- ")</f>
        <v xml:space="preserve">Palepu, Krishna G., 1954- </v>
      </c>
      <c r="F534" t="str">
        <f>("South-Western College Pub., ")</f>
        <v xml:space="preserve">South-Western College Pub., </v>
      </c>
      <c r="G534" t="str">
        <f>("2nd ed. ")</f>
        <v xml:space="preserve">2nd ed. </v>
      </c>
      <c r="H534" t="str">
        <f t="shared" si="225"/>
        <v>圖書 book</v>
      </c>
      <c r="I534" t="str">
        <f>("HF5681 P156 2000")</f>
        <v>HF5681 P156 2000</v>
      </c>
      <c r="J534" t="str">
        <f>("0324015658")</f>
        <v>0324015658</v>
      </c>
      <c r="K534" t="str">
        <f>("1272")</f>
        <v>1272</v>
      </c>
      <c r="L534" t="str">
        <f t="shared" si="224"/>
        <v>2001/10/10 00:00:00</v>
      </c>
      <c r="M534" t="str">
        <f>("2018/08/11 13:31:27")</f>
        <v>2018/08/11 13:31:27</v>
      </c>
      <c r="N534" t="str">
        <f>("2000")</f>
        <v>2000</v>
      </c>
      <c r="O534" t="str">
        <f>("4F西文書庫 4F Western Language Books")</f>
        <v>4F西文書庫 4F Western Language Books</v>
      </c>
      <c r="P534" t="s">
        <v>64</v>
      </c>
      <c r="S534" t="str">
        <f>("1 v. (various pagings) ; ")</f>
        <v xml:space="preserve">1 v. (various pagings) ; </v>
      </c>
      <c r="U534" t="str">
        <f>("24 cm. ")</f>
        <v xml:space="preserve">24 cm. </v>
      </c>
      <c r="W534" t="str">
        <f t="shared" si="211"/>
        <v>美國國會圖書分類法</v>
      </c>
      <c r="Y534" t="str">
        <f>("HF5681")</f>
        <v>HF5681</v>
      </c>
      <c r="Z534" t="str">
        <f>("2018/08/11 13:31:27")</f>
        <v>2018/08/11 13:31:27</v>
      </c>
      <c r="AA534" t="str">
        <f t="shared" si="221"/>
        <v>catc</v>
      </c>
      <c r="AC534" t="str">
        <f>("P156")</f>
        <v>P156</v>
      </c>
      <c r="AE534" t="str">
        <f>("c.1")</f>
        <v>c.1</v>
      </c>
      <c r="AF534" t="str">
        <f>("1.可借圖書")</f>
        <v>1.可借圖書</v>
      </c>
      <c r="AG534" t="str">
        <f>("在架")</f>
        <v>在架</v>
      </c>
      <c r="AI534" t="s">
        <v>65</v>
      </c>
      <c r="AK534" t="str">
        <f t="shared" si="222"/>
        <v>一般(Normal)</v>
      </c>
      <c r="AO534" t="s">
        <v>65</v>
      </c>
      <c r="AS534" t="str">
        <f>("c2000. ")</f>
        <v xml:space="preserve">c2000. </v>
      </c>
      <c r="AT534" t="str">
        <f t="shared" si="223"/>
        <v>catc</v>
      </c>
    </row>
    <row r="535" spans="1:46" x14ac:dyDescent="0.25">
      <c r="A535">
        <v>524</v>
      </c>
      <c r="B535" t="str">
        <f>("289384")</f>
        <v>289384</v>
      </c>
      <c r="C535" t="str">
        <f>("W00002560")</f>
        <v>W00002560</v>
      </c>
      <c r="D535" t="str">
        <f>("International business : environments and operations / ")</f>
        <v xml:space="preserve">International business : environments and operations / </v>
      </c>
      <c r="E535" t="str">
        <f>("Daniels, John D. ")</f>
        <v xml:space="preserve">Daniels, John D. </v>
      </c>
      <c r="F535" t="str">
        <f>("Addison-Wesley, ")</f>
        <v xml:space="preserve">Addison-Wesley, </v>
      </c>
      <c r="G535" t="str">
        <f>("8th ed. ")</f>
        <v xml:space="preserve">8th ed. </v>
      </c>
      <c r="H535" t="str">
        <f t="shared" si="225"/>
        <v>圖書 book</v>
      </c>
      <c r="I535" t="str">
        <f>("HD2755.5 D186 1998")</f>
        <v>HD2755.5 D186 1998</v>
      </c>
      <c r="J535" t="str">
        <f>("0201846187")</f>
        <v>0201846187</v>
      </c>
      <c r="K535" t="str">
        <f>("1176")</f>
        <v>1176</v>
      </c>
      <c r="L535" t="str">
        <f t="shared" si="224"/>
        <v>2001/10/10 00:00:00</v>
      </c>
      <c r="M535" t="str">
        <f>("2018/08/11 13:34:29")</f>
        <v>2018/08/11 13:34:29</v>
      </c>
      <c r="N535" t="str">
        <f>("1998")</f>
        <v>1998</v>
      </c>
      <c r="O535" t="str">
        <f>("4F西文書庫 4F Western Language Books")</f>
        <v>4F西文書庫 4F Western Language Books</v>
      </c>
      <c r="P535" t="s">
        <v>64</v>
      </c>
      <c r="W535" t="str">
        <f t="shared" si="211"/>
        <v>美國國會圖書分類法</v>
      </c>
      <c r="Y535" t="str">
        <f>("HD2755.5")</f>
        <v>HD2755.5</v>
      </c>
      <c r="Z535" t="str">
        <f>("2018/08/11 13:34:29")</f>
        <v>2018/08/11 13:34:29</v>
      </c>
      <c r="AA535" t="str">
        <f t="shared" si="221"/>
        <v>catc</v>
      </c>
      <c r="AC535" t="str">
        <f>("D186")</f>
        <v>D186</v>
      </c>
      <c r="AE535" t="str">
        <f>("c.1")</f>
        <v>c.1</v>
      </c>
      <c r="AF535" t="str">
        <f>("1.可借圖書")</f>
        <v>1.可借圖書</v>
      </c>
      <c r="AG535" t="str">
        <f>("在架")</f>
        <v>在架</v>
      </c>
      <c r="AI535" t="s">
        <v>65</v>
      </c>
      <c r="AK535" t="str">
        <f t="shared" si="222"/>
        <v>一般(Normal)</v>
      </c>
      <c r="AO535" t="s">
        <v>65</v>
      </c>
      <c r="AS535" t="str">
        <f>("c1998. ")</f>
        <v xml:space="preserve">c1998. </v>
      </c>
      <c r="AT535" t="str">
        <f t="shared" si="223"/>
        <v>catc</v>
      </c>
    </row>
    <row r="536" spans="1:46" x14ac:dyDescent="0.25">
      <c r="A536">
        <v>525</v>
      </c>
      <c r="B536" t="str">
        <f>("289385")</f>
        <v>289385</v>
      </c>
      <c r="C536" t="str">
        <f>("W00002561")</f>
        <v>W00002561</v>
      </c>
      <c r="D536" t="str">
        <f>("Marketing management for the hospitality industry :astrategic approach /")</f>
        <v>Marketing management for the hospitality industry :astrategic approach /</v>
      </c>
      <c r="E536" t="str">
        <f>("Reich, Allen Z ")</f>
        <v xml:space="preserve">Reich, Allen Z </v>
      </c>
      <c r="F536" t="str">
        <f>("Wiley,")</f>
        <v>Wiley,</v>
      </c>
      <c r="H536" t="str">
        <f t="shared" si="225"/>
        <v>圖書 book</v>
      </c>
      <c r="I536" t="str">
        <f>("TX911.3 R348 1997")</f>
        <v>TX911.3 R348 1997</v>
      </c>
      <c r="J536" t="str">
        <f>("0471310123")</f>
        <v>0471310123</v>
      </c>
      <c r="K536" t="str">
        <f>("1188")</f>
        <v>1188</v>
      </c>
      <c r="L536" t="str">
        <f t="shared" si="224"/>
        <v>2001/10/10 00:00:00</v>
      </c>
      <c r="M536" t="str">
        <f>("2018/08/11 13:34:29")</f>
        <v>2018/08/11 13:34:29</v>
      </c>
      <c r="N536" t="str">
        <f>("1997")</f>
        <v>1997</v>
      </c>
      <c r="O536" t="str">
        <f>("4F西文書庫 4F Western Language Books")</f>
        <v>4F西文書庫 4F Western Language Books</v>
      </c>
      <c r="P536" t="s">
        <v>64</v>
      </c>
      <c r="W536" t="str">
        <f t="shared" si="211"/>
        <v>美國國會圖書分類法</v>
      </c>
      <c r="Y536" t="str">
        <f>("TX911.3")</f>
        <v>TX911.3</v>
      </c>
      <c r="Z536" t="str">
        <f>("2018/08/11 13:34:29")</f>
        <v>2018/08/11 13:34:29</v>
      </c>
      <c r="AA536" t="str">
        <f t="shared" si="221"/>
        <v>catc</v>
      </c>
      <c r="AC536" t="str">
        <f>("R348")</f>
        <v>R348</v>
      </c>
      <c r="AE536" t="str">
        <f>("c.1")</f>
        <v>c.1</v>
      </c>
      <c r="AF536" t="str">
        <f>("1.可借圖書")</f>
        <v>1.可借圖書</v>
      </c>
      <c r="AG536" t="str">
        <f>("在架")</f>
        <v>在架</v>
      </c>
      <c r="AI536" t="s">
        <v>65</v>
      </c>
      <c r="AK536" t="str">
        <f t="shared" si="222"/>
        <v>一般(Normal)</v>
      </c>
      <c r="AO536" t="s">
        <v>65</v>
      </c>
      <c r="AS536" t="str">
        <f>("c1997 ")</f>
        <v xml:space="preserve">c1997 </v>
      </c>
      <c r="AT536" t="str">
        <f t="shared" si="223"/>
        <v>catc</v>
      </c>
    </row>
    <row r="537" spans="1:46" x14ac:dyDescent="0.25">
      <c r="A537">
        <v>526</v>
      </c>
      <c r="B537" t="str">
        <f>("291671")</f>
        <v>291671</v>
      </c>
      <c r="C537" t="str">
        <f>("W00002562")</f>
        <v>W00002562</v>
      </c>
      <c r="D537" t="str">
        <f>("Economics for today /")</f>
        <v>Economics for today /</v>
      </c>
      <c r="E537" t="str">
        <f>("Tucker, Irvin B.")</f>
        <v>Tucker, Irvin B.</v>
      </c>
      <c r="F537" t="str">
        <f>("South-Western College Publishing,")</f>
        <v>South-Western College Publishing,</v>
      </c>
      <c r="G537" t="str">
        <f>("2nd ed.")</f>
        <v>2nd ed.</v>
      </c>
      <c r="H537" t="str">
        <f t="shared" si="225"/>
        <v>圖書 book</v>
      </c>
      <c r="I537" t="str">
        <f>("HB171.5 T892 2000 c.4")</f>
        <v>HB171.5 T892 2000 c.4</v>
      </c>
      <c r="J537" t="str">
        <f>("0324006217")</f>
        <v>0324006217</v>
      </c>
      <c r="K537" t="str">
        <f>("1272")</f>
        <v>1272</v>
      </c>
      <c r="L537" t="str">
        <f t="shared" si="224"/>
        <v>2001/10/10 00:00:00</v>
      </c>
      <c r="M537" t="str">
        <f>("2018/08/11 13:38:47")</f>
        <v>2018/08/11 13:38:47</v>
      </c>
      <c r="N537" t="str">
        <f>("2000")</f>
        <v>2000</v>
      </c>
      <c r="O537" t="str">
        <f>("罕用書庫1-洽櫃台填單 Upon-Request Collection1 fil")</f>
        <v>罕用書庫1-洽櫃台填單 Upon-Request Collection1 fil</v>
      </c>
      <c r="P537" t="s">
        <v>64</v>
      </c>
      <c r="S537" t="str">
        <f>("xlv, 795 p. :")</f>
        <v>xlv, 795 p. :</v>
      </c>
      <c r="T537" t="str">
        <f>("ill. ;")</f>
        <v>ill. ;</v>
      </c>
      <c r="U537" t="str">
        <f>("27 cm.")</f>
        <v>27 cm.</v>
      </c>
      <c r="W537" t="str">
        <f t="shared" si="211"/>
        <v>美國國會圖書分類法</v>
      </c>
      <c r="Y537" t="str">
        <f>("HB171.5")</f>
        <v>HB171.5</v>
      </c>
      <c r="Z537" t="str">
        <f>("2018/08/11 13:38:47")</f>
        <v>2018/08/11 13:38:47</v>
      </c>
      <c r="AA537" t="str">
        <f t="shared" si="221"/>
        <v>catc</v>
      </c>
      <c r="AC537" t="str">
        <f>("T892")</f>
        <v>T892</v>
      </c>
      <c r="AE537" t="str">
        <f>("c.4")</f>
        <v>c.4</v>
      </c>
      <c r="AF537" t="str">
        <f>("不流通")</f>
        <v>不流通</v>
      </c>
      <c r="AG537" t="str">
        <f>("報銷中")</f>
        <v>報銷中</v>
      </c>
      <c r="AI537" t="s">
        <v>65</v>
      </c>
      <c r="AK537" t="str">
        <f t="shared" si="222"/>
        <v>一般(Normal)</v>
      </c>
      <c r="AO537" t="s">
        <v>65</v>
      </c>
      <c r="AS537" t="str">
        <f>("c2000.")</f>
        <v>c2000.</v>
      </c>
      <c r="AT537" t="str">
        <f t="shared" si="223"/>
        <v>catc</v>
      </c>
    </row>
    <row r="538" spans="1:46" x14ac:dyDescent="0.25">
      <c r="A538">
        <v>527</v>
      </c>
      <c r="B538" t="str">
        <f>("289386")</f>
        <v>289386</v>
      </c>
      <c r="C538" t="str">
        <f>("W00002563")</f>
        <v>W00002563</v>
      </c>
      <c r="D538" t="str">
        <f>("Business marketing management : a strategic view of industrial and organizational markets / ")</f>
        <v xml:space="preserve">Business marketing management : a strategic view of industrial and organizational markets / </v>
      </c>
      <c r="E538" t="str">
        <f>("Hutt, Michael D. ")</f>
        <v xml:space="preserve">Hutt, Michael D. </v>
      </c>
      <c r="F538" t="str">
        <f>("Dryden Press, ")</f>
        <v xml:space="preserve">Dryden Press, </v>
      </c>
      <c r="G538" t="str">
        <f>("6th ed. ")</f>
        <v xml:space="preserve">6th ed. </v>
      </c>
      <c r="H538" t="str">
        <f t="shared" si="225"/>
        <v>圖書 book</v>
      </c>
      <c r="I538" t="str">
        <f>("HF5415.13 H982 1998")</f>
        <v>HF5415.13 H982 1998</v>
      </c>
      <c r="J538" t="str">
        <f>("0030206332")</f>
        <v>0030206332</v>
      </c>
      <c r="K538" t="str">
        <f>("1200")</f>
        <v>1200</v>
      </c>
      <c r="L538" t="str">
        <f t="shared" si="224"/>
        <v>2001/10/10 00:00:00</v>
      </c>
      <c r="M538" t="str">
        <f>("2018/08/11 13:34:29")</f>
        <v>2018/08/11 13:34:29</v>
      </c>
      <c r="N538" t="str">
        <f>("1998")</f>
        <v>1998</v>
      </c>
      <c r="O538" t="str">
        <f>("4F西文書庫 4F Western Language Books")</f>
        <v>4F西文書庫 4F Western Language Books</v>
      </c>
      <c r="P538" t="s">
        <v>64</v>
      </c>
      <c r="S538" t="str">
        <f>("xxix, 777 p. : ")</f>
        <v xml:space="preserve">xxix, 777 p. : </v>
      </c>
      <c r="T538" t="str">
        <f>("ill. ; ")</f>
        <v xml:space="preserve">ill. ; </v>
      </c>
      <c r="U538" t="str">
        <f>("25 cm. ")</f>
        <v xml:space="preserve">25 cm. </v>
      </c>
      <c r="W538" t="str">
        <f t="shared" si="211"/>
        <v>美國國會圖書分類法</v>
      </c>
      <c r="Y538" t="str">
        <f>("HF5415.13")</f>
        <v>HF5415.13</v>
      </c>
      <c r="Z538" t="str">
        <f>("2018/08/11 13:34:29")</f>
        <v>2018/08/11 13:34:29</v>
      </c>
      <c r="AA538" t="str">
        <f t="shared" si="221"/>
        <v>catc</v>
      </c>
      <c r="AC538" t="str">
        <f>("H982")</f>
        <v>H982</v>
      </c>
      <c r="AE538" t="str">
        <f>("c.1")</f>
        <v>c.1</v>
      </c>
      <c r="AF538" t="str">
        <f>("1.可借圖書")</f>
        <v>1.可借圖書</v>
      </c>
      <c r="AG538" t="str">
        <f>("在架")</f>
        <v>在架</v>
      </c>
      <c r="AI538" t="s">
        <v>65</v>
      </c>
      <c r="AK538" t="str">
        <f t="shared" si="222"/>
        <v>一般(Normal)</v>
      </c>
      <c r="AO538" t="s">
        <v>65</v>
      </c>
      <c r="AS538" t="str">
        <f>("c1998. ")</f>
        <v xml:space="preserve">c1998. </v>
      </c>
      <c r="AT538" t="str">
        <f t="shared" si="223"/>
        <v>catc</v>
      </c>
    </row>
    <row r="539" spans="1:46" x14ac:dyDescent="0.25">
      <c r="A539">
        <v>528</v>
      </c>
      <c r="B539" t="str">
        <f>("287534")</f>
        <v>287534</v>
      </c>
      <c r="C539" t="str">
        <f>("W00002564")</f>
        <v>W00002564</v>
      </c>
      <c r="D539" t="str">
        <f>("Business, public policy, and society /")</f>
        <v>Business, public policy, and society /</v>
      </c>
      <c r="E539" t="str">
        <f>("Lesser, Lawrence M ")</f>
        <v xml:space="preserve">Lesser, Lawrence M </v>
      </c>
      <c r="F539" t="str">
        <f>("Dryden Press,")</f>
        <v>Dryden Press,</v>
      </c>
      <c r="H539" t="str">
        <f t="shared" si="225"/>
        <v>圖書 book</v>
      </c>
      <c r="I539" t="str">
        <f>("HD60 L638 2000")</f>
        <v>HD60 L638 2000</v>
      </c>
      <c r="J539" t="str">
        <f>("0030259096")</f>
        <v>0030259096</v>
      </c>
      <c r="K539" t="str">
        <f>("1152")</f>
        <v>1152</v>
      </c>
      <c r="L539" t="str">
        <f t="shared" si="224"/>
        <v>2001/10/10 00:00:00</v>
      </c>
      <c r="M539" t="str">
        <f>("2018/08/11 13:31:26")</f>
        <v>2018/08/11 13:31:26</v>
      </c>
      <c r="N539" t="str">
        <f>("2000")</f>
        <v>2000</v>
      </c>
      <c r="O539" t="str">
        <f>("4F西文書庫 4F Western Language Books")</f>
        <v>4F西文書庫 4F Western Language Books</v>
      </c>
      <c r="P539" t="s">
        <v>64</v>
      </c>
      <c r="S539" t="str">
        <f>("xxix, 615 p. :")</f>
        <v>xxix, 615 p. :</v>
      </c>
      <c r="T539" t="str">
        <f>("ill. ;")</f>
        <v>ill. ;</v>
      </c>
      <c r="U539" t="str">
        <f>("26 cm ")</f>
        <v xml:space="preserve">26 cm </v>
      </c>
      <c r="W539" t="str">
        <f t="shared" si="211"/>
        <v>美國國會圖書分類法</v>
      </c>
      <c r="Y539" t="str">
        <f>("HD60")</f>
        <v>HD60</v>
      </c>
      <c r="Z539" t="str">
        <f>("2018/08/11 13:31:26")</f>
        <v>2018/08/11 13:31:26</v>
      </c>
      <c r="AA539" t="str">
        <f t="shared" si="221"/>
        <v>catc</v>
      </c>
      <c r="AC539" t="str">
        <f>("L638")</f>
        <v>L638</v>
      </c>
      <c r="AE539" t="str">
        <f>("c.1")</f>
        <v>c.1</v>
      </c>
      <c r="AF539" t="str">
        <f>("1.可借圖書")</f>
        <v>1.可借圖書</v>
      </c>
      <c r="AG539" t="str">
        <f>("在架")</f>
        <v>在架</v>
      </c>
      <c r="AI539" t="s">
        <v>65</v>
      </c>
      <c r="AK539" t="str">
        <f t="shared" si="222"/>
        <v>一般(Normal)</v>
      </c>
      <c r="AO539" t="s">
        <v>65</v>
      </c>
      <c r="AS539" t="str">
        <f>("c2000 ")</f>
        <v xml:space="preserve">c2000 </v>
      </c>
      <c r="AT539" t="str">
        <f t="shared" si="223"/>
        <v>catc</v>
      </c>
    </row>
    <row r="540" spans="1:46" x14ac:dyDescent="0.25">
      <c r="A540">
        <v>529</v>
      </c>
      <c r="B540" t="str">
        <f>("289376")</f>
        <v>289376</v>
      </c>
      <c r="C540" t="str">
        <f>("W00002565")</f>
        <v>W00002565</v>
      </c>
      <c r="D540" t="str">
        <f>("Organization theory and design / ")</f>
        <v xml:space="preserve">Organization theory and design / </v>
      </c>
      <c r="E540" t="str">
        <f>("Daft, Richard L. ")</f>
        <v xml:space="preserve">Daft, Richard L. </v>
      </c>
      <c r="F540" t="str">
        <f>("South Western College Publishing, ")</f>
        <v xml:space="preserve">South Western College Publishing, </v>
      </c>
      <c r="G540" t="str">
        <f>("6th ed. ")</f>
        <v xml:space="preserve">6th ed. </v>
      </c>
      <c r="H540" t="str">
        <f t="shared" si="225"/>
        <v>圖書 book</v>
      </c>
      <c r="I540" t="str">
        <f>("HD31 D124-2 1998")</f>
        <v>HD31 D124-2 1998</v>
      </c>
      <c r="J540" t="str">
        <f>("0538879025")</f>
        <v>0538879025</v>
      </c>
      <c r="K540" t="str">
        <f>("1188")</f>
        <v>1188</v>
      </c>
      <c r="L540" t="str">
        <f t="shared" si="224"/>
        <v>2001/10/10 00:00:00</v>
      </c>
      <c r="M540" t="str">
        <f>("2018/08/11 13:34:29")</f>
        <v>2018/08/11 13:34:29</v>
      </c>
      <c r="N540" t="str">
        <f>("1998")</f>
        <v>1998</v>
      </c>
      <c r="O540" t="str">
        <f>("4F西文書庫 4F Western Language Books")</f>
        <v>4F西文書庫 4F Western Language Books</v>
      </c>
      <c r="P540" t="s">
        <v>64</v>
      </c>
      <c r="S540" t="str">
        <f>("xiv, 701 p. : ")</f>
        <v xml:space="preserve">xiv, 701 p. : </v>
      </c>
      <c r="T540" t="str">
        <f>("col. ill. ; ")</f>
        <v xml:space="preserve">col. ill. ; </v>
      </c>
      <c r="U540" t="str">
        <f>("26 cm. ")</f>
        <v xml:space="preserve">26 cm. </v>
      </c>
      <c r="W540" t="str">
        <f t="shared" si="211"/>
        <v>美國國會圖書分類法</v>
      </c>
      <c r="Y540" t="str">
        <f>("HD31")</f>
        <v>HD31</v>
      </c>
      <c r="Z540" t="str">
        <f>("2018/08/11 13:34:29")</f>
        <v>2018/08/11 13:34:29</v>
      </c>
      <c r="AA540" t="str">
        <f t="shared" si="221"/>
        <v>catc</v>
      </c>
      <c r="AC540" t="str">
        <f>("D124-2")</f>
        <v>D124-2</v>
      </c>
      <c r="AE540" t="str">
        <f>("c.1")</f>
        <v>c.1</v>
      </c>
      <c r="AF540" t="str">
        <f>("1.可借圖書")</f>
        <v>1.可借圖書</v>
      </c>
      <c r="AG540" t="str">
        <f>("在架")</f>
        <v>在架</v>
      </c>
      <c r="AI540" t="s">
        <v>65</v>
      </c>
      <c r="AK540" t="str">
        <f t="shared" si="222"/>
        <v>一般(Normal)</v>
      </c>
      <c r="AO540" t="s">
        <v>65</v>
      </c>
      <c r="AS540" t="str">
        <f>("c1998. ")</f>
        <v xml:space="preserve">c1998. </v>
      </c>
      <c r="AT540" t="str">
        <f t="shared" si="223"/>
        <v>catc</v>
      </c>
    </row>
    <row r="541" spans="1:46" x14ac:dyDescent="0.25">
      <c r="A541">
        <v>530</v>
      </c>
      <c r="B541" t="str">
        <f>("288539")</f>
        <v>288539</v>
      </c>
      <c r="C541" t="str">
        <f>("W00002566")</f>
        <v>W00002566</v>
      </c>
      <c r="D541" t="str">
        <f>("Statistics for business and financial economics /")</f>
        <v>Statistics for business and financial economics /</v>
      </c>
      <c r="E541" t="str">
        <f>("Lee, Cheng F.")</f>
        <v>Lee, Cheng F.</v>
      </c>
      <c r="F541" t="str">
        <f>("World Scientific,")</f>
        <v>World Scientific,</v>
      </c>
      <c r="G541" t="str">
        <f>("2nd ed.")</f>
        <v>2nd ed.</v>
      </c>
      <c r="H541" t="str">
        <f t="shared" si="225"/>
        <v>圖書 book</v>
      </c>
      <c r="I541" t="str">
        <f>("HF1017 L477 2000")</f>
        <v>HF1017 L477 2000</v>
      </c>
      <c r="J541" t="str">
        <f>("9810234856")</f>
        <v>9810234856</v>
      </c>
      <c r="K541" t="str">
        <f>("1344")</f>
        <v>1344</v>
      </c>
      <c r="L541" t="str">
        <f t="shared" si="224"/>
        <v>2001/10/10 00:00:00</v>
      </c>
      <c r="M541" t="str">
        <f>("2018/08/11 13:33:09")</f>
        <v>2018/08/11 13:33:09</v>
      </c>
      <c r="N541" t="str">
        <f>("2000")</f>
        <v>2000</v>
      </c>
      <c r="O541" t="str">
        <f>("4F西文書庫 4F Western Language Books")</f>
        <v>4F西文書庫 4F Western Language Books</v>
      </c>
      <c r="P541" t="s">
        <v>64</v>
      </c>
      <c r="S541" t="str">
        <f>("xxx, 976, 101 p. :")</f>
        <v>xxx, 976, 101 p. :</v>
      </c>
      <c r="T541" t="str">
        <f>("ill. (some col.) ;")</f>
        <v>ill. (some col.) ;</v>
      </c>
      <c r="U541" t="str">
        <f>("25 cm.")</f>
        <v>25 cm.</v>
      </c>
      <c r="W541" t="str">
        <f t="shared" si="211"/>
        <v>美國國會圖書分類法</v>
      </c>
      <c r="Y541" t="str">
        <f>("HF1017")</f>
        <v>HF1017</v>
      </c>
      <c r="Z541" t="str">
        <f>("2018/08/11 13:33:09")</f>
        <v>2018/08/11 13:33:09</v>
      </c>
      <c r="AA541" t="str">
        <f t="shared" si="221"/>
        <v>catc</v>
      </c>
      <c r="AC541" t="str">
        <f>("L477")</f>
        <v>L477</v>
      </c>
      <c r="AE541" t="str">
        <f>("c.1")</f>
        <v>c.1</v>
      </c>
      <c r="AF541" t="str">
        <f>("1.可借圖書")</f>
        <v>1.可借圖書</v>
      </c>
      <c r="AG541" t="str">
        <f>("在架")</f>
        <v>在架</v>
      </c>
      <c r="AI541" t="s">
        <v>65</v>
      </c>
      <c r="AK541" t="str">
        <f t="shared" si="222"/>
        <v>一般(Normal)</v>
      </c>
      <c r="AO541" t="s">
        <v>65</v>
      </c>
      <c r="AS541" t="str">
        <f>("c2000.")</f>
        <v>c2000.</v>
      </c>
      <c r="AT541" t="str">
        <f t="shared" si="223"/>
        <v>catc</v>
      </c>
    </row>
    <row r="542" spans="1:46" x14ac:dyDescent="0.25">
      <c r="A542">
        <v>531</v>
      </c>
      <c r="B542" t="str">
        <f>("288108")</f>
        <v>288108</v>
      </c>
      <c r="C542" t="str">
        <f>("W00002567")</f>
        <v>W00002567</v>
      </c>
      <c r="D542" t="str">
        <f>("Business research methods /")</f>
        <v>Business research methods /</v>
      </c>
      <c r="E542" t="str">
        <f>("Zikmund, William G.")</f>
        <v>Zikmund, William G.</v>
      </c>
      <c r="F542" t="str">
        <f>("Dryden Press,")</f>
        <v>Dryden Press,</v>
      </c>
      <c r="G542" t="str">
        <f>("6th ed.")</f>
        <v>6th ed.</v>
      </c>
      <c r="H542" t="str">
        <f t="shared" si="225"/>
        <v>圖書 book</v>
      </c>
      <c r="I542" t="str">
        <f>("HD30.4 Z64 2000 c.2")</f>
        <v>HD30.4 Z64 2000 c.2</v>
      </c>
      <c r="J542" t="str">
        <f>("0030258170")</f>
        <v>0030258170</v>
      </c>
      <c r="K542" t="str">
        <f>("1320")</f>
        <v>1320</v>
      </c>
      <c r="L542" t="str">
        <f t="shared" si="224"/>
        <v>2001/10/10 00:00:00</v>
      </c>
      <c r="M542" t="str">
        <f>("2018/08/11 13:32:24")</f>
        <v>2018/08/11 13:32:24</v>
      </c>
      <c r="N542" t="str">
        <f>("2000")</f>
        <v>2000</v>
      </c>
      <c r="O542" t="str">
        <f>("罕用書庫1-洽櫃台填單 Upon-Request Collection1 fil")</f>
        <v>罕用書庫1-洽櫃台填單 Upon-Request Collection1 fil</v>
      </c>
      <c r="P542" t="s">
        <v>64</v>
      </c>
      <c r="S542" t="str">
        <f>("xxix, 660, [46] p. :")</f>
        <v>xxix, 660, [46] p. :</v>
      </c>
      <c r="T542" t="str">
        <f>("ill.;")</f>
        <v>ill.;</v>
      </c>
      <c r="U542" t="str">
        <f>("26 cm.")</f>
        <v>26 cm.</v>
      </c>
      <c r="W542" t="str">
        <f t="shared" si="211"/>
        <v>美國國會圖書分類法</v>
      </c>
      <c r="Y542" t="str">
        <f>("HD30.4")</f>
        <v>HD30.4</v>
      </c>
      <c r="Z542" t="str">
        <f>("2018/08/11 13:32:24")</f>
        <v>2018/08/11 13:32:24</v>
      </c>
      <c r="AA542" t="str">
        <f t="shared" si="221"/>
        <v>catc</v>
      </c>
      <c r="AC542" t="str">
        <f>("Z64")</f>
        <v>Z64</v>
      </c>
      <c r="AE542" t="str">
        <f>("c.2")</f>
        <v>c.2</v>
      </c>
      <c r="AF542" t="str">
        <f>("不流通")</f>
        <v>不流通</v>
      </c>
      <c r="AG542" t="str">
        <f>("報銷中")</f>
        <v>報銷中</v>
      </c>
      <c r="AI542" t="s">
        <v>65</v>
      </c>
      <c r="AK542" t="str">
        <f t="shared" si="222"/>
        <v>一般(Normal)</v>
      </c>
      <c r="AO542" t="s">
        <v>65</v>
      </c>
      <c r="AS542" t="str">
        <f>("c2000.")</f>
        <v>c2000.</v>
      </c>
      <c r="AT542" t="str">
        <f t="shared" si="223"/>
        <v>catc</v>
      </c>
    </row>
    <row r="543" spans="1:46" x14ac:dyDescent="0.25">
      <c r="A543">
        <v>532</v>
      </c>
      <c r="B543" t="str">
        <f>("289377")</f>
        <v>289377</v>
      </c>
      <c r="C543" t="str">
        <f>("W00002568")</f>
        <v>W00002568</v>
      </c>
      <c r="D543" t="str">
        <f>("Entrepreneurial marketing :competing by challenging conventions /")</f>
        <v>Entrepreneurial marketing :competing by challenging conventions /</v>
      </c>
      <c r="E543" t="str">
        <f>("Chaston, Ian.")</f>
        <v>Chaston, Ian.</v>
      </c>
      <c r="F543" t="str">
        <f>("Macmillan Press Ltd,")</f>
        <v>Macmillan Press Ltd,</v>
      </c>
      <c r="H543" t="str">
        <f t="shared" si="225"/>
        <v>圖書 book</v>
      </c>
      <c r="I543" t="str">
        <f>("HF5415.1265 C489")</f>
        <v>HF5415.1265 C489</v>
      </c>
      <c r="J543" t="str">
        <f>("0333792998")</f>
        <v>0333792998</v>
      </c>
      <c r="K543" t="str">
        <f>("876")</f>
        <v>876</v>
      </c>
      <c r="L543" t="str">
        <f t="shared" si="224"/>
        <v>2001/10/10 00:00:00</v>
      </c>
      <c r="M543" t="str">
        <f>("2018/08/11 13:34:30")</f>
        <v>2018/08/11 13:34:30</v>
      </c>
      <c r="O543" t="str">
        <f t="shared" ref="O543:O579" si="226">("4F西文書庫 4F Western Language Books")</f>
        <v>4F西文書庫 4F Western Language Books</v>
      </c>
      <c r="P543" t="s">
        <v>64</v>
      </c>
      <c r="W543" t="str">
        <f t="shared" si="211"/>
        <v>美國國會圖書分類法</v>
      </c>
      <c r="Y543" t="str">
        <f>("HF5415.1265")</f>
        <v>HF5415.1265</v>
      </c>
      <c r="Z543" t="str">
        <f>("2018/08/11 13:34:29")</f>
        <v>2018/08/11 13:34:29</v>
      </c>
      <c r="AA543" t="str">
        <f t="shared" si="221"/>
        <v>catc</v>
      </c>
      <c r="AC543" t="str">
        <f>("C489")</f>
        <v>C489</v>
      </c>
      <c r="AE543" t="str">
        <f t="shared" ref="AE543:AE579" si="227">("c.1")</f>
        <v>c.1</v>
      </c>
      <c r="AF543" t="str">
        <f t="shared" ref="AF543:AF579" si="228">("1.可借圖書")</f>
        <v>1.可借圖書</v>
      </c>
      <c r="AG543" t="str">
        <f t="shared" ref="AG543:AG579" si="229">("在架")</f>
        <v>在架</v>
      </c>
      <c r="AI543" t="s">
        <v>65</v>
      </c>
      <c r="AK543" t="str">
        <f t="shared" si="222"/>
        <v>一般(Normal)</v>
      </c>
      <c r="AO543" t="s">
        <v>65</v>
      </c>
      <c r="AS543" t="str">
        <f>("2000.")</f>
        <v>2000.</v>
      </c>
      <c r="AT543" t="str">
        <f t="shared" si="223"/>
        <v>catc</v>
      </c>
    </row>
    <row r="544" spans="1:46" x14ac:dyDescent="0.25">
      <c r="A544">
        <v>533</v>
      </c>
      <c r="B544" t="str">
        <f>("288234")</f>
        <v>288234</v>
      </c>
      <c r="C544" t="str">
        <f>("W00002569")</f>
        <v>W00002569</v>
      </c>
      <c r="D544" t="str">
        <f>("International finance management/ ")</f>
        <v xml:space="preserve">International finance management/ </v>
      </c>
      <c r="E544" t="str">
        <f>("Madura,Jeff")</f>
        <v>Madura,Jeff</v>
      </c>
      <c r="F544" t="str">
        <f>("West Publishing Company, ")</f>
        <v xml:space="preserve">West Publishing Company, </v>
      </c>
      <c r="G544" t="str">
        <f>("6th. ed.")</f>
        <v>6th. ed.</v>
      </c>
      <c r="H544" t="str">
        <f t="shared" si="225"/>
        <v>圖書 book</v>
      </c>
      <c r="I544" t="str">
        <f>("HG3881 M179-2 2000")</f>
        <v>HG3881 M179-2 2000</v>
      </c>
      <c r="J544" t="str">
        <f>("0324009550")</f>
        <v>0324009550</v>
      </c>
      <c r="K544" t="str">
        <f>("1248")</f>
        <v>1248</v>
      </c>
      <c r="L544" t="str">
        <f t="shared" si="224"/>
        <v>2001/10/10 00:00:00</v>
      </c>
      <c r="M544" t="str">
        <f>("2018/08/11 13:32:37")</f>
        <v>2018/08/11 13:32:37</v>
      </c>
      <c r="N544" t="str">
        <f>("2000")</f>
        <v>2000</v>
      </c>
      <c r="O544" t="str">
        <f t="shared" si="226"/>
        <v>4F西文書庫 4F Western Language Books</v>
      </c>
      <c r="P544" t="s">
        <v>64</v>
      </c>
      <c r="S544" t="str">
        <f>("iv, 660p.: ")</f>
        <v xml:space="preserve">iv, 660p.: </v>
      </c>
      <c r="T544" t="str">
        <f>("ill. ; ")</f>
        <v xml:space="preserve">ill. ; </v>
      </c>
      <c r="U544" t="str">
        <f>("27cm.")</f>
        <v>27cm.</v>
      </c>
      <c r="W544" t="str">
        <f t="shared" si="211"/>
        <v>美國國會圖書分類法</v>
      </c>
      <c r="Y544" t="str">
        <f>("HG3881")</f>
        <v>HG3881</v>
      </c>
      <c r="Z544" t="str">
        <f>("2018/08/11 13:32:37")</f>
        <v>2018/08/11 13:32:37</v>
      </c>
      <c r="AA544" t="str">
        <f t="shared" si="221"/>
        <v>catc</v>
      </c>
      <c r="AC544" t="str">
        <f>("M179-2")</f>
        <v>M179-2</v>
      </c>
      <c r="AE544" t="str">
        <f t="shared" si="227"/>
        <v>c.1</v>
      </c>
      <c r="AF544" t="str">
        <f t="shared" si="228"/>
        <v>1.可借圖書</v>
      </c>
      <c r="AG544" t="str">
        <f t="shared" si="229"/>
        <v>在架</v>
      </c>
      <c r="AI544" t="s">
        <v>65</v>
      </c>
      <c r="AK544" t="str">
        <f t="shared" si="222"/>
        <v>一般(Normal)</v>
      </c>
      <c r="AO544" t="s">
        <v>65</v>
      </c>
      <c r="AS544" t="str">
        <f>("c2000.")</f>
        <v>c2000.</v>
      </c>
      <c r="AT544" t="str">
        <f t="shared" si="223"/>
        <v>catc</v>
      </c>
    </row>
    <row r="545" spans="1:46" x14ac:dyDescent="0.25">
      <c r="A545">
        <v>534</v>
      </c>
      <c r="B545" t="str">
        <f>("289387")</f>
        <v>289387</v>
      </c>
      <c r="C545" t="str">
        <f>("W00002570")</f>
        <v>W00002570</v>
      </c>
      <c r="D545" t="str">
        <f>("Building the unnovative organization: management systems that encourage innovation/ ")</f>
        <v xml:space="preserve">Building the unnovative organization: management systems that encourage innovation/ </v>
      </c>
      <c r="E545" t="str">
        <f>("Christiansen, James A.")</f>
        <v>Christiansen, James A.</v>
      </c>
      <c r="F545" t="str">
        <f>("MacMillan Bussiness, ")</f>
        <v xml:space="preserve">MacMillan Bussiness, </v>
      </c>
      <c r="H545" t="str">
        <f t="shared" si="225"/>
        <v>圖書 book</v>
      </c>
      <c r="I545" t="str">
        <f>("HG1415.5 C555 2000")</f>
        <v>HG1415.5 C555 2000</v>
      </c>
      <c r="J545" t="str">
        <f>("033380483X")</f>
        <v>033380483X</v>
      </c>
      <c r="K545" t="str">
        <f>("1084")</f>
        <v>1084</v>
      </c>
      <c r="L545" t="str">
        <f t="shared" si="224"/>
        <v>2001/10/10 00:00:00</v>
      </c>
      <c r="M545" t="str">
        <f>("2018/08/11 13:34:30")</f>
        <v>2018/08/11 13:34:30</v>
      </c>
      <c r="N545" t="str">
        <f>("2000")</f>
        <v>2000</v>
      </c>
      <c r="O545" t="str">
        <f t="shared" si="226"/>
        <v>4F西文書庫 4F Western Language Books</v>
      </c>
      <c r="P545" t="s">
        <v>64</v>
      </c>
      <c r="W545" t="str">
        <f t="shared" si="211"/>
        <v>美國國會圖書分類法</v>
      </c>
      <c r="Y545" t="str">
        <f>("HG1415.5")</f>
        <v>HG1415.5</v>
      </c>
      <c r="Z545" t="str">
        <f>("2018/08/11 13:34:30")</f>
        <v>2018/08/11 13:34:30</v>
      </c>
      <c r="AA545" t="str">
        <f t="shared" si="221"/>
        <v>catc</v>
      </c>
      <c r="AC545" t="str">
        <f>("C555")</f>
        <v>C555</v>
      </c>
      <c r="AE545" t="str">
        <f t="shared" si="227"/>
        <v>c.1</v>
      </c>
      <c r="AF545" t="str">
        <f t="shared" si="228"/>
        <v>1.可借圖書</v>
      </c>
      <c r="AG545" t="str">
        <f t="shared" si="229"/>
        <v>在架</v>
      </c>
      <c r="AI545" t="s">
        <v>65</v>
      </c>
      <c r="AK545" t="str">
        <f t="shared" si="222"/>
        <v>一般(Normal)</v>
      </c>
      <c r="AO545" t="s">
        <v>65</v>
      </c>
      <c r="AS545" t="str">
        <f>("2000.")</f>
        <v>2000.</v>
      </c>
      <c r="AT545" t="str">
        <f t="shared" si="223"/>
        <v>catc</v>
      </c>
    </row>
    <row r="546" spans="1:46" x14ac:dyDescent="0.25">
      <c r="A546">
        <v>535</v>
      </c>
      <c r="B546" t="str">
        <f>("288381")</f>
        <v>288381</v>
      </c>
      <c r="C546" t="str">
        <f>("W00002571")</f>
        <v>W00002571</v>
      </c>
      <c r="D546" t="str">
        <f>("George Wollsten,expert stock and grain trader,")</f>
        <v>George Wollsten,expert stock and grain trader,</v>
      </c>
      <c r="E546" t="str">
        <f>("Bayer, George ")</f>
        <v xml:space="preserve">Bayer, George </v>
      </c>
      <c r="H546" t="str">
        <f t="shared" si="225"/>
        <v>圖書 book</v>
      </c>
      <c r="I546" t="str">
        <f>("HG6036 B357 1999")</f>
        <v>HG6036 B357 1999</v>
      </c>
      <c r="J546" t="str">
        <f>("0273643142")</f>
        <v>0273643142</v>
      </c>
      <c r="K546" t="str">
        <f>("924")</f>
        <v>924</v>
      </c>
      <c r="L546" t="str">
        <f t="shared" si="224"/>
        <v>2001/10/10 00:00:00</v>
      </c>
      <c r="M546" t="str">
        <f>("2018/08/11 13:32:52")</f>
        <v>2018/08/11 13:32:52</v>
      </c>
      <c r="N546" t="str">
        <f>("1999")</f>
        <v>1999</v>
      </c>
      <c r="O546" t="str">
        <f t="shared" si="226"/>
        <v>4F西文書庫 4F Western Language Books</v>
      </c>
      <c r="P546" t="s">
        <v>64</v>
      </c>
      <c r="S546" t="str">
        <f>("6 p. l., 234 v. p.")</f>
        <v>6 p. l., 234 v. p.</v>
      </c>
      <c r="T546" t="str">
        <f>("diagrs. (1 fold.)")</f>
        <v>diagrs. (1 fold.)</v>
      </c>
      <c r="U546" t="str">
        <f>("22 cm ")</f>
        <v xml:space="preserve">22 cm </v>
      </c>
      <c r="W546" t="str">
        <f t="shared" si="211"/>
        <v>美國國會圖書分類法</v>
      </c>
      <c r="Y546" t="str">
        <f>("HG6036")</f>
        <v>HG6036</v>
      </c>
      <c r="Z546" t="str">
        <f>("2018/08/11 13:32:51")</f>
        <v>2018/08/11 13:32:51</v>
      </c>
      <c r="AA546" t="str">
        <f t="shared" si="221"/>
        <v>catc</v>
      </c>
      <c r="AC546" t="str">
        <f>("B357")</f>
        <v>B357</v>
      </c>
      <c r="AE546" t="str">
        <f t="shared" si="227"/>
        <v>c.1</v>
      </c>
      <c r="AF546" t="str">
        <f t="shared" si="228"/>
        <v>1.可借圖書</v>
      </c>
      <c r="AG546" t="str">
        <f t="shared" si="229"/>
        <v>在架</v>
      </c>
      <c r="AI546" t="s">
        <v>65</v>
      </c>
      <c r="AK546" t="str">
        <f t="shared" si="222"/>
        <v>一般(Normal)</v>
      </c>
      <c r="AO546" t="s">
        <v>65</v>
      </c>
      <c r="AS546" t="str">
        <f>("1946 ")</f>
        <v xml:space="preserve">1946 </v>
      </c>
      <c r="AT546" t="str">
        <f t="shared" si="223"/>
        <v>catc</v>
      </c>
    </row>
    <row r="547" spans="1:46" x14ac:dyDescent="0.25">
      <c r="A547">
        <v>536</v>
      </c>
      <c r="B547" t="str">
        <f>("289388")</f>
        <v>289388</v>
      </c>
      <c r="C547" t="str">
        <f>("W00002572")</f>
        <v>W00002572</v>
      </c>
      <c r="D547" t="str">
        <f>("Sales management :strategy, technology, skills /")</f>
        <v>Sales management :strategy, technology, skills /</v>
      </c>
      <c r="E547" t="str">
        <f>("Moncrief, William C.,1953- ")</f>
        <v xml:space="preserve">Moncrief, William C.,1953- </v>
      </c>
      <c r="F547" t="str">
        <f>("Addison-Wesley,")</f>
        <v>Addison-Wesley,</v>
      </c>
      <c r="H547" t="str">
        <f t="shared" si="225"/>
        <v>圖書 book</v>
      </c>
      <c r="I547" t="str">
        <f>("HF5438.4 M739 1997")</f>
        <v>HF5438.4 M739 1997</v>
      </c>
      <c r="J547" t="str">
        <f>("0673469034")</f>
        <v>0673469034</v>
      </c>
      <c r="K547" t="str">
        <f>("1152")</f>
        <v>1152</v>
      </c>
      <c r="L547" t="str">
        <f t="shared" si="224"/>
        <v>2001/10/10 00:00:00</v>
      </c>
      <c r="M547" t="str">
        <f t="shared" ref="M547:M553" si="230">("2018/08/11 13:34:30")</f>
        <v>2018/08/11 13:34:30</v>
      </c>
      <c r="N547" t="str">
        <f>("1997")</f>
        <v>1997</v>
      </c>
      <c r="O547" t="str">
        <f t="shared" si="226"/>
        <v>4F西文書庫 4F Western Language Books</v>
      </c>
      <c r="P547" t="s">
        <v>64</v>
      </c>
      <c r="W547" t="str">
        <f t="shared" si="211"/>
        <v>美國國會圖書分類法</v>
      </c>
      <c r="Y547" t="str">
        <f>("HF5438.4")</f>
        <v>HF5438.4</v>
      </c>
      <c r="Z547" t="str">
        <f t="shared" ref="Z547:Z553" si="231">("2018/08/11 13:34:30")</f>
        <v>2018/08/11 13:34:30</v>
      </c>
      <c r="AA547" t="str">
        <f t="shared" si="221"/>
        <v>catc</v>
      </c>
      <c r="AC547" t="str">
        <f>("M739")</f>
        <v>M739</v>
      </c>
      <c r="AE547" t="str">
        <f t="shared" si="227"/>
        <v>c.1</v>
      </c>
      <c r="AF547" t="str">
        <f t="shared" si="228"/>
        <v>1.可借圖書</v>
      </c>
      <c r="AG547" t="str">
        <f t="shared" si="229"/>
        <v>在架</v>
      </c>
      <c r="AI547" t="s">
        <v>65</v>
      </c>
      <c r="AK547" t="str">
        <f t="shared" si="222"/>
        <v>一般(Normal)</v>
      </c>
      <c r="AO547" t="s">
        <v>65</v>
      </c>
      <c r="AS547" t="str">
        <f>("c1997 ")</f>
        <v xml:space="preserve">c1997 </v>
      </c>
      <c r="AT547" t="str">
        <f t="shared" si="223"/>
        <v>catc</v>
      </c>
    </row>
    <row r="548" spans="1:46" x14ac:dyDescent="0.25">
      <c r="A548">
        <v>537</v>
      </c>
      <c r="B548" t="str">
        <f>("289389")</f>
        <v>289389</v>
      </c>
      <c r="C548" t="str">
        <f>("W00002573")</f>
        <v>W00002573</v>
      </c>
      <c r="D548" t="str">
        <f>("Foundations of multinational financial management / ")</f>
        <v xml:space="preserve">Foundations of multinational financial management / </v>
      </c>
      <c r="E548" t="str">
        <f>("Shapiro, Alan C. ")</f>
        <v xml:space="preserve">Shapiro, Alan C. </v>
      </c>
      <c r="F548" t="str">
        <f>("Prentice Hall, ")</f>
        <v xml:space="preserve">Prentice Hall, </v>
      </c>
      <c r="G548" t="str">
        <f>("3rd ed. ")</f>
        <v xml:space="preserve">3rd ed. </v>
      </c>
      <c r="H548" t="str">
        <f t="shared" si="225"/>
        <v>圖書 book</v>
      </c>
      <c r="I548" t="str">
        <f>("HG4027.5 S529 1998")</f>
        <v>HG4027.5 S529 1998</v>
      </c>
      <c r="J548" t="str">
        <f>("0471366196")</f>
        <v>0471366196</v>
      </c>
      <c r="K548" t="str">
        <f>("1176")</f>
        <v>1176</v>
      </c>
      <c r="L548" t="str">
        <f t="shared" si="224"/>
        <v>2001/10/10 00:00:00</v>
      </c>
      <c r="M548" t="str">
        <f t="shared" si="230"/>
        <v>2018/08/11 13:34:30</v>
      </c>
      <c r="N548" t="str">
        <f>("1998")</f>
        <v>1998</v>
      </c>
      <c r="O548" t="str">
        <f t="shared" si="226"/>
        <v>4F西文書庫 4F Western Language Books</v>
      </c>
      <c r="P548" t="s">
        <v>64</v>
      </c>
      <c r="W548" t="str">
        <f t="shared" si="211"/>
        <v>美國國會圖書分類法</v>
      </c>
      <c r="Y548" t="str">
        <f>("HG4027.5")</f>
        <v>HG4027.5</v>
      </c>
      <c r="Z548" t="str">
        <f t="shared" si="231"/>
        <v>2018/08/11 13:34:30</v>
      </c>
      <c r="AA548" t="str">
        <f t="shared" si="221"/>
        <v>catc</v>
      </c>
      <c r="AC548" t="str">
        <f>("S529")</f>
        <v>S529</v>
      </c>
      <c r="AE548" t="str">
        <f t="shared" si="227"/>
        <v>c.1</v>
      </c>
      <c r="AF548" t="str">
        <f t="shared" si="228"/>
        <v>1.可借圖書</v>
      </c>
      <c r="AG548" t="str">
        <f t="shared" si="229"/>
        <v>在架</v>
      </c>
      <c r="AI548" t="s">
        <v>65</v>
      </c>
      <c r="AK548" t="str">
        <f t="shared" si="222"/>
        <v>一般(Normal)</v>
      </c>
      <c r="AO548" t="s">
        <v>65</v>
      </c>
      <c r="AS548" t="str">
        <f>("c1998. ")</f>
        <v xml:space="preserve">c1998. </v>
      </c>
      <c r="AT548" t="str">
        <f t="shared" si="223"/>
        <v>catc</v>
      </c>
    </row>
    <row r="549" spans="1:46" x14ac:dyDescent="0.25">
      <c r="A549">
        <v>538</v>
      </c>
      <c r="B549" t="str">
        <f>("289390")</f>
        <v>289390</v>
      </c>
      <c r="C549" t="str">
        <f>("W00002574")</f>
        <v>W00002574</v>
      </c>
      <c r="D549" t="str">
        <f>("Economic restructuring, technology transfer, and human resource development / ")</f>
        <v xml:space="preserve">Economic restructuring, technology transfer, and human resource development / </v>
      </c>
      <c r="E549" t="str">
        <f>("Virmani, B. R. ")</f>
        <v xml:space="preserve">Virmani, B. R. </v>
      </c>
      <c r="F549" t="str">
        <f>("Response Books, ")</f>
        <v xml:space="preserve">Response Books, </v>
      </c>
      <c r="G549" t="str">
        <f>("2nd ed. ")</f>
        <v xml:space="preserve">2nd ed. </v>
      </c>
      <c r="H549" t="str">
        <f t="shared" si="225"/>
        <v>圖書 book</v>
      </c>
      <c r="I549" t="str">
        <f>("HC412 V813 1999")</f>
        <v>HC412 V813 1999</v>
      </c>
      <c r="J549" t="str">
        <f>("0761993843")</f>
        <v>0761993843</v>
      </c>
      <c r="K549" t="str">
        <f>("1272")</f>
        <v>1272</v>
      </c>
      <c r="L549" t="str">
        <f t="shared" si="224"/>
        <v>2001/10/10 00:00:00</v>
      </c>
      <c r="M549" t="str">
        <f t="shared" si="230"/>
        <v>2018/08/11 13:34:30</v>
      </c>
      <c r="N549" t="str">
        <f>("1999")</f>
        <v>1999</v>
      </c>
      <c r="O549" t="str">
        <f t="shared" si="226"/>
        <v>4F西文書庫 4F Western Language Books</v>
      </c>
      <c r="P549" t="s">
        <v>64</v>
      </c>
      <c r="W549" t="str">
        <f t="shared" si="211"/>
        <v>美國國會圖書分類法</v>
      </c>
      <c r="Y549" t="str">
        <f>("HC412")</f>
        <v>HC412</v>
      </c>
      <c r="Z549" t="str">
        <f t="shared" si="231"/>
        <v>2018/08/11 13:34:30</v>
      </c>
      <c r="AA549" t="str">
        <f t="shared" si="221"/>
        <v>catc</v>
      </c>
      <c r="AC549" t="str">
        <f>("V813")</f>
        <v>V813</v>
      </c>
      <c r="AE549" t="str">
        <f t="shared" si="227"/>
        <v>c.1</v>
      </c>
      <c r="AF549" t="str">
        <f t="shared" si="228"/>
        <v>1.可借圖書</v>
      </c>
      <c r="AG549" t="str">
        <f t="shared" si="229"/>
        <v>在架</v>
      </c>
      <c r="AI549" t="s">
        <v>65</v>
      </c>
      <c r="AK549" t="str">
        <f t="shared" si="222"/>
        <v>一般(Normal)</v>
      </c>
      <c r="AO549" t="s">
        <v>65</v>
      </c>
      <c r="AS549" t="str">
        <f>("1999. ")</f>
        <v xml:space="preserve">1999. </v>
      </c>
      <c r="AT549" t="str">
        <f t="shared" si="223"/>
        <v>catc</v>
      </c>
    </row>
    <row r="550" spans="1:46" x14ac:dyDescent="0.25">
      <c r="A550">
        <v>539</v>
      </c>
      <c r="B550" t="str">
        <f>("289391")</f>
        <v>289391</v>
      </c>
      <c r="C550" t="str">
        <f>("W00002575")</f>
        <v>W00002575</v>
      </c>
      <c r="D550" t="str">
        <f>("Greenspan's taming of the wave, or, A golden age revisited /")</f>
        <v>Greenspan's taming of the wave, or, A golden age revisited /</v>
      </c>
      <c r="E550" t="str">
        <f>("Chevallier, Francois-Xavier ")</f>
        <v xml:space="preserve">Chevallier, Francois-Xavier </v>
      </c>
      <c r="F550" t="str">
        <f>("St. Martin's Press,")</f>
        <v>St. Martin's Press,</v>
      </c>
      <c r="H550" t="str">
        <f t="shared" si="225"/>
        <v>圖書 book</v>
      </c>
      <c r="I550" t="str">
        <f>("HB3711 C527 2000")</f>
        <v>HB3711 C527 2000</v>
      </c>
      <c r="J550" t="str">
        <f>("0749432241")</f>
        <v>0749432241</v>
      </c>
      <c r="K550" t="str">
        <f>("832")</f>
        <v>832</v>
      </c>
      <c r="L550" t="str">
        <f t="shared" si="224"/>
        <v>2001/10/10 00:00:00</v>
      </c>
      <c r="M550" t="str">
        <f t="shared" si="230"/>
        <v>2018/08/11 13:34:30</v>
      </c>
      <c r="N550" t="str">
        <f>("2000")</f>
        <v>2000</v>
      </c>
      <c r="O550" t="str">
        <f t="shared" si="226"/>
        <v>4F西文書庫 4F Western Language Books</v>
      </c>
      <c r="P550" t="s">
        <v>64</v>
      </c>
      <c r="W550" t="str">
        <f t="shared" si="211"/>
        <v>美國國會圖書分類法</v>
      </c>
      <c r="Y550" t="str">
        <f>("HB3711")</f>
        <v>HB3711</v>
      </c>
      <c r="Z550" t="str">
        <f t="shared" si="231"/>
        <v>2018/08/11 13:34:30</v>
      </c>
      <c r="AA550" t="str">
        <f t="shared" si="221"/>
        <v>catc</v>
      </c>
      <c r="AC550" t="str">
        <f>("C527")</f>
        <v>C527</v>
      </c>
      <c r="AE550" t="str">
        <f t="shared" si="227"/>
        <v>c.1</v>
      </c>
      <c r="AF550" t="str">
        <f t="shared" si="228"/>
        <v>1.可借圖書</v>
      </c>
      <c r="AG550" t="str">
        <f t="shared" si="229"/>
        <v>在架</v>
      </c>
      <c r="AI550" t="s">
        <v>65</v>
      </c>
      <c r="AK550" t="str">
        <f t="shared" si="222"/>
        <v>一般(Normal)</v>
      </c>
      <c r="AO550" t="s">
        <v>65</v>
      </c>
      <c r="AS550" t="str">
        <f>("2000 ")</f>
        <v xml:space="preserve">2000 </v>
      </c>
      <c r="AT550" t="str">
        <f t="shared" si="223"/>
        <v>catc</v>
      </c>
    </row>
    <row r="551" spans="1:46" x14ac:dyDescent="0.25">
      <c r="A551">
        <v>540</v>
      </c>
      <c r="B551" t="str">
        <f>("289392")</f>
        <v>289392</v>
      </c>
      <c r="C551" t="str">
        <f>("W00002576")</f>
        <v>W00002576</v>
      </c>
      <c r="D551" t="str">
        <f>("The e-marketplace : strategies for success in B2B ecommerce / ")</f>
        <v xml:space="preserve">The e-marketplace : strategies for success in B2B ecommerce / </v>
      </c>
      <c r="E551" t="str">
        <f>("Raisch, Warren D. ")</f>
        <v xml:space="preserve">Raisch, Warren D. </v>
      </c>
      <c r="F551" t="str">
        <f>("McGraw-Hill, ")</f>
        <v xml:space="preserve">McGraw-Hill, </v>
      </c>
      <c r="H551" t="str">
        <f t="shared" si="225"/>
        <v>圖書 book</v>
      </c>
      <c r="I551" t="str">
        <f>("HF5548.32 R149 2001")</f>
        <v>HF5548.32 R149 2001</v>
      </c>
      <c r="J551" t="str">
        <f>("0071361235")</f>
        <v>0071361235</v>
      </c>
      <c r="K551" t="str">
        <f>("740")</f>
        <v>740</v>
      </c>
      <c r="L551" t="str">
        <f t="shared" si="224"/>
        <v>2001/10/10 00:00:00</v>
      </c>
      <c r="M551" t="str">
        <f t="shared" si="230"/>
        <v>2018/08/11 13:34:30</v>
      </c>
      <c r="N551" t="str">
        <f>("2001")</f>
        <v>2001</v>
      </c>
      <c r="O551" t="str">
        <f t="shared" si="226"/>
        <v>4F西文書庫 4F Western Language Books</v>
      </c>
      <c r="P551" t="s">
        <v>64</v>
      </c>
      <c r="W551" t="str">
        <f t="shared" si="211"/>
        <v>美國國會圖書分類法</v>
      </c>
      <c r="Y551" t="str">
        <f>("HF5548.32")</f>
        <v>HF5548.32</v>
      </c>
      <c r="Z551" t="str">
        <f t="shared" si="231"/>
        <v>2018/08/11 13:34:30</v>
      </c>
      <c r="AA551" t="str">
        <f t="shared" si="221"/>
        <v>catc</v>
      </c>
      <c r="AC551" t="str">
        <f>("R149")</f>
        <v>R149</v>
      </c>
      <c r="AE551" t="str">
        <f t="shared" si="227"/>
        <v>c.1</v>
      </c>
      <c r="AF551" t="str">
        <f t="shared" si="228"/>
        <v>1.可借圖書</v>
      </c>
      <c r="AG551" t="str">
        <f t="shared" si="229"/>
        <v>在架</v>
      </c>
      <c r="AI551" t="s">
        <v>65</v>
      </c>
      <c r="AK551" t="str">
        <f t="shared" si="222"/>
        <v>一般(Normal)</v>
      </c>
      <c r="AO551" t="s">
        <v>65</v>
      </c>
      <c r="AS551" t="str">
        <f>("2001. ")</f>
        <v xml:space="preserve">2001. </v>
      </c>
      <c r="AT551" t="str">
        <f t="shared" si="223"/>
        <v>catc</v>
      </c>
    </row>
    <row r="552" spans="1:46" x14ac:dyDescent="0.25">
      <c r="A552">
        <v>541</v>
      </c>
      <c r="B552" t="str">
        <f>("289393")</f>
        <v>289393</v>
      </c>
      <c r="C552" t="str">
        <f>("W00002577")</f>
        <v>W00002577</v>
      </c>
      <c r="D552" t="str">
        <f>("Fundamentals of financial management /")</f>
        <v>Fundamentals of financial management /</v>
      </c>
      <c r="E552" t="str">
        <f>("Brigham, Eugene F.,1930-")</f>
        <v>Brigham, Eugene F.,1930-</v>
      </c>
      <c r="F552" t="str">
        <f>("Dryden,")</f>
        <v>Dryden,</v>
      </c>
      <c r="G552" t="str">
        <f>("8th ed.")</f>
        <v>8th ed.</v>
      </c>
      <c r="H552" t="str">
        <f t="shared" si="225"/>
        <v>圖書 book</v>
      </c>
      <c r="I552" t="str">
        <f>("HF568.1 B855 1998")</f>
        <v>HF568.1 B855 1998</v>
      </c>
      <c r="J552" t="str">
        <f>("0030244188;003031481X")</f>
        <v>0030244188;003031481X</v>
      </c>
      <c r="K552" t="str">
        <f>("1320")</f>
        <v>1320</v>
      </c>
      <c r="L552" t="str">
        <f t="shared" si="224"/>
        <v>2001/10/10 00:00:00</v>
      </c>
      <c r="M552" t="str">
        <f t="shared" si="230"/>
        <v>2018/08/11 13:34:30</v>
      </c>
      <c r="N552" t="str">
        <f>("1998")</f>
        <v>1998</v>
      </c>
      <c r="O552" t="str">
        <f t="shared" si="226"/>
        <v>4F西文書庫 4F Western Language Books</v>
      </c>
      <c r="P552" t="s">
        <v>64</v>
      </c>
      <c r="S552" t="str">
        <f>("xxvii, 898 p. :")</f>
        <v>xxvii, 898 p. :</v>
      </c>
      <c r="T552" t="str">
        <f>("ill. (some col.) ;")</f>
        <v>ill. (some col.) ;</v>
      </c>
      <c r="U552" t="str">
        <f>("27 cm. +")</f>
        <v>27 cm. +</v>
      </c>
      <c r="V552" t="str">
        <f>("1 computer optical disc (4 3/4 in.)")</f>
        <v>1 computer optical disc (4 3/4 in.)</v>
      </c>
      <c r="W552" t="str">
        <f t="shared" si="211"/>
        <v>美國國會圖書分類法</v>
      </c>
      <c r="Y552" t="str">
        <f>("HF568.1")</f>
        <v>HF568.1</v>
      </c>
      <c r="Z552" t="str">
        <f t="shared" si="231"/>
        <v>2018/08/11 13:34:30</v>
      </c>
      <c r="AA552" t="str">
        <f t="shared" si="221"/>
        <v>catc</v>
      </c>
      <c r="AC552" t="str">
        <f>("B855")</f>
        <v>B855</v>
      </c>
      <c r="AE552" t="str">
        <f t="shared" si="227"/>
        <v>c.1</v>
      </c>
      <c r="AF552" t="str">
        <f t="shared" si="228"/>
        <v>1.可借圖書</v>
      </c>
      <c r="AG552" t="str">
        <f t="shared" si="229"/>
        <v>在架</v>
      </c>
      <c r="AI552" t="s">
        <v>65</v>
      </c>
      <c r="AK552" t="str">
        <f t="shared" si="222"/>
        <v>一般(Normal)</v>
      </c>
      <c r="AO552" t="s">
        <v>65</v>
      </c>
      <c r="AS552" t="str">
        <f>("c1998.")</f>
        <v>c1998.</v>
      </c>
      <c r="AT552" t="str">
        <f t="shared" si="223"/>
        <v>catc</v>
      </c>
    </row>
    <row r="553" spans="1:46" x14ac:dyDescent="0.25">
      <c r="A553">
        <v>542</v>
      </c>
      <c r="B553" t="str">
        <f>("289378")</f>
        <v>289378</v>
      </c>
      <c r="C553" t="str">
        <f>("W00002578")</f>
        <v>W00002578</v>
      </c>
      <c r="D553" t="str">
        <f>("Introduction to business /")</f>
        <v>Introduction to business /</v>
      </c>
      <c r="E553" t="str">
        <f>("Madura, Jeff.")</f>
        <v>Madura, Jeff.</v>
      </c>
      <c r="F553" t="str">
        <f>("South-Western College Publishing,")</f>
        <v>South-Western College Publishing,</v>
      </c>
      <c r="H553" t="str">
        <f t="shared" si="225"/>
        <v>圖書 book</v>
      </c>
      <c r="I553" t="str">
        <f>("HD31 M179 1998")</f>
        <v>HD31 M179 1998</v>
      </c>
      <c r="J553" t="str">
        <f>("0538878835")</f>
        <v>0538878835</v>
      </c>
      <c r="K553" t="str">
        <f>("1104")</f>
        <v>1104</v>
      </c>
      <c r="L553" t="str">
        <f t="shared" si="224"/>
        <v>2001/10/10 00:00:00</v>
      </c>
      <c r="M553" t="str">
        <f t="shared" si="230"/>
        <v>2018/08/11 13:34:30</v>
      </c>
      <c r="N553" t="str">
        <f>("1998")</f>
        <v>1998</v>
      </c>
      <c r="O553" t="str">
        <f t="shared" si="226"/>
        <v>4F西文書庫 4F Western Language Books</v>
      </c>
      <c r="P553" t="s">
        <v>64</v>
      </c>
      <c r="W553" t="str">
        <f t="shared" si="211"/>
        <v>美國國會圖書分類法</v>
      </c>
      <c r="Y553" t="str">
        <f>("HD31")</f>
        <v>HD31</v>
      </c>
      <c r="Z553" t="str">
        <f t="shared" si="231"/>
        <v>2018/08/11 13:34:30</v>
      </c>
      <c r="AA553" t="str">
        <f t="shared" si="221"/>
        <v>catc</v>
      </c>
      <c r="AC553" t="str">
        <f>("M179")</f>
        <v>M179</v>
      </c>
      <c r="AE553" t="str">
        <f t="shared" si="227"/>
        <v>c.1</v>
      </c>
      <c r="AF553" t="str">
        <f t="shared" si="228"/>
        <v>1.可借圖書</v>
      </c>
      <c r="AG553" t="str">
        <f t="shared" si="229"/>
        <v>在架</v>
      </c>
      <c r="AI553" t="s">
        <v>65</v>
      </c>
      <c r="AK553" t="str">
        <f t="shared" si="222"/>
        <v>一般(Normal)</v>
      </c>
      <c r="AO553" t="s">
        <v>65</v>
      </c>
      <c r="AS553" t="str">
        <f>("c1998.")</f>
        <v>c1998.</v>
      </c>
      <c r="AT553" t="str">
        <f t="shared" si="223"/>
        <v>catc</v>
      </c>
    </row>
    <row r="554" spans="1:46" x14ac:dyDescent="0.25">
      <c r="A554">
        <v>543</v>
      </c>
      <c r="B554" t="str">
        <f>("288031")</f>
        <v>288031</v>
      </c>
      <c r="C554" t="str">
        <f>("W00002579")</f>
        <v>W00002579</v>
      </c>
      <c r="D554" t="str">
        <f>("A first course in design and analysis of experiments /")</f>
        <v>A first course in design and analysis of experiments /</v>
      </c>
      <c r="E554" t="str">
        <f>("Oehlert, Gary W ")</f>
        <v xml:space="preserve">Oehlert, Gary W </v>
      </c>
      <c r="F554" t="str">
        <f>("W.H. Freeman,")</f>
        <v>W.H. Freeman,</v>
      </c>
      <c r="H554" t="str">
        <f t="shared" si="225"/>
        <v>圖書 book</v>
      </c>
      <c r="I554" t="str">
        <f>("QA279 O28 2000")</f>
        <v>QA279 O28 2000</v>
      </c>
      <c r="J554" t="str">
        <f>("0716735105")</f>
        <v>0716735105</v>
      </c>
      <c r="K554" t="str">
        <f>("1248")</f>
        <v>1248</v>
      </c>
      <c r="L554" t="str">
        <f t="shared" si="224"/>
        <v>2001/10/10 00:00:00</v>
      </c>
      <c r="M554" t="str">
        <f>("2018/08/11 13:32:17")</f>
        <v>2018/08/11 13:32:17</v>
      </c>
      <c r="N554" t="str">
        <f>("2000")</f>
        <v>2000</v>
      </c>
      <c r="O554" t="str">
        <f t="shared" si="226"/>
        <v>4F西文書庫 4F Western Language Books</v>
      </c>
      <c r="P554" t="s">
        <v>64</v>
      </c>
      <c r="S554" t="str">
        <f>("xvii, 659 p. :")</f>
        <v>xvii, 659 p. :</v>
      </c>
      <c r="T554" t="str">
        <f>("ill. ;")</f>
        <v>ill. ;</v>
      </c>
      <c r="U554" t="str">
        <f>("24 cm ")</f>
        <v xml:space="preserve">24 cm </v>
      </c>
      <c r="W554" t="str">
        <f t="shared" si="211"/>
        <v>美國國會圖書分類法</v>
      </c>
      <c r="Y554" t="str">
        <f>("QA279")</f>
        <v>QA279</v>
      </c>
      <c r="Z554" t="str">
        <f>("2018/08/11 13:32:17")</f>
        <v>2018/08/11 13:32:17</v>
      </c>
      <c r="AA554" t="str">
        <f t="shared" si="221"/>
        <v>catc</v>
      </c>
      <c r="AC554" t="str">
        <f>("O28")</f>
        <v>O28</v>
      </c>
      <c r="AE554" t="str">
        <f t="shared" si="227"/>
        <v>c.1</v>
      </c>
      <c r="AF554" t="str">
        <f t="shared" si="228"/>
        <v>1.可借圖書</v>
      </c>
      <c r="AG554" t="str">
        <f t="shared" si="229"/>
        <v>在架</v>
      </c>
      <c r="AI554" t="s">
        <v>65</v>
      </c>
      <c r="AK554" t="str">
        <f t="shared" si="222"/>
        <v>一般(Normal)</v>
      </c>
      <c r="AO554" t="s">
        <v>65</v>
      </c>
      <c r="AS554" t="str">
        <f>("c2000 ")</f>
        <v xml:space="preserve">c2000 </v>
      </c>
      <c r="AT554" t="str">
        <f t="shared" si="223"/>
        <v>catc</v>
      </c>
    </row>
    <row r="555" spans="1:46" x14ac:dyDescent="0.25">
      <c r="A555">
        <v>544</v>
      </c>
      <c r="B555" t="str">
        <f>("287411")</f>
        <v>287411</v>
      </c>
      <c r="C555" t="str">
        <f>("W00002580")</f>
        <v>W00002580</v>
      </c>
      <c r="D555" t="str">
        <f>("International business /")</f>
        <v>International business /</v>
      </c>
      <c r="E555" t="str">
        <f>("Czinkota, Michael R ")</f>
        <v xml:space="preserve">Czinkota, Michael R </v>
      </c>
      <c r="F555" t="str">
        <f>("Dryden Press,")</f>
        <v>Dryden Press,</v>
      </c>
      <c r="G555" t="str">
        <f>("5th ed ")</f>
        <v xml:space="preserve">5th ed </v>
      </c>
      <c r="H555" t="str">
        <f t="shared" si="225"/>
        <v>圖書 book</v>
      </c>
      <c r="I555" t="str">
        <f>("HF1379 C998-2 1999")</f>
        <v>HF1379 C998-2 1999</v>
      </c>
      <c r="J555" t="str">
        <f>("0030223784")</f>
        <v>0030223784</v>
      </c>
      <c r="K555" t="str">
        <f>("1320")</f>
        <v>1320</v>
      </c>
      <c r="L555" t="str">
        <f t="shared" si="224"/>
        <v>2001/10/10 00:00:00</v>
      </c>
      <c r="M555" t="str">
        <f>("2018/08/11 13:31:12")</f>
        <v>2018/08/11 13:31:12</v>
      </c>
      <c r="N555" t="str">
        <f>("1999")</f>
        <v>1999</v>
      </c>
      <c r="O555" t="str">
        <f t="shared" si="226"/>
        <v>4F西文書庫 4F Western Language Books</v>
      </c>
      <c r="P555" t="s">
        <v>64</v>
      </c>
      <c r="S555" t="str">
        <f>("xxix, 856 p. :")</f>
        <v>xxix, 856 p. :</v>
      </c>
      <c r="T555" t="str">
        <f>("col. ill., col. maps ;")</f>
        <v>col. ill., col. maps ;</v>
      </c>
      <c r="U555" t="str">
        <f>("26 cm ")</f>
        <v xml:space="preserve">26 cm </v>
      </c>
      <c r="W555" t="str">
        <f t="shared" si="211"/>
        <v>美國國會圖書分類法</v>
      </c>
      <c r="Y555" t="str">
        <f>("HF1379")</f>
        <v>HF1379</v>
      </c>
      <c r="Z555" t="str">
        <f>("2018/08/11 13:31:12")</f>
        <v>2018/08/11 13:31:12</v>
      </c>
      <c r="AA555" t="str">
        <f t="shared" si="221"/>
        <v>catc</v>
      </c>
      <c r="AC555" t="str">
        <f>("C998-2")</f>
        <v>C998-2</v>
      </c>
      <c r="AE555" t="str">
        <f t="shared" si="227"/>
        <v>c.1</v>
      </c>
      <c r="AF555" t="str">
        <f t="shared" si="228"/>
        <v>1.可借圖書</v>
      </c>
      <c r="AG555" t="str">
        <f t="shared" si="229"/>
        <v>在架</v>
      </c>
      <c r="AI555" t="s">
        <v>65</v>
      </c>
      <c r="AK555" t="str">
        <f t="shared" si="222"/>
        <v>一般(Normal)</v>
      </c>
      <c r="AO555" t="s">
        <v>65</v>
      </c>
      <c r="AS555" t="str">
        <f>("c1999 ")</f>
        <v xml:space="preserve">c1999 </v>
      </c>
      <c r="AT555" t="str">
        <f t="shared" si="223"/>
        <v>catc</v>
      </c>
    </row>
    <row r="556" spans="1:46" x14ac:dyDescent="0.25">
      <c r="A556">
        <v>545</v>
      </c>
      <c r="B556" t="str">
        <f>("289379")</f>
        <v>289379</v>
      </c>
      <c r="C556" t="str">
        <f>("W00002581")</f>
        <v>W00002581</v>
      </c>
      <c r="D556" t="str">
        <f>("The e-commerce arsenal :12 technologies you need to prevail in the digital arena /")</f>
        <v>The e-commerce arsenal :12 technologies you need to prevail in the digital arena /</v>
      </c>
      <c r="E556" t="str">
        <f>("Gutzman, Alexis D ")</f>
        <v xml:space="preserve">Gutzman, Alexis D </v>
      </c>
      <c r="F556" t="str">
        <f>("AMACOM,")</f>
        <v>AMACOM,</v>
      </c>
      <c r="H556" t="str">
        <f t="shared" si="225"/>
        <v>圖書 book</v>
      </c>
      <c r="I556" t="str">
        <f>("HF5548.32 G983 2001")</f>
        <v>HF5548.32 G983 2001</v>
      </c>
      <c r="J556" t="str">
        <f>("0814406238")</f>
        <v>0814406238</v>
      </c>
      <c r="K556" t="str">
        <f>("828")</f>
        <v>828</v>
      </c>
      <c r="L556" t="str">
        <f t="shared" si="224"/>
        <v>2001/10/10 00:00:00</v>
      </c>
      <c r="M556" t="str">
        <f>("2018/08/11 13:34:30")</f>
        <v>2018/08/11 13:34:30</v>
      </c>
      <c r="N556" t="str">
        <f>("2001")</f>
        <v>2001</v>
      </c>
      <c r="O556" t="str">
        <f t="shared" si="226"/>
        <v>4F西文書庫 4F Western Language Books</v>
      </c>
      <c r="P556" t="s">
        <v>64</v>
      </c>
      <c r="W556" t="str">
        <f t="shared" si="211"/>
        <v>美國國會圖書分類法</v>
      </c>
      <c r="Y556" t="str">
        <f>("HF5548.32")</f>
        <v>HF5548.32</v>
      </c>
      <c r="Z556" t="str">
        <f>("2018/08/11 13:34:30")</f>
        <v>2018/08/11 13:34:30</v>
      </c>
      <c r="AA556" t="str">
        <f t="shared" si="221"/>
        <v>catc</v>
      </c>
      <c r="AC556" t="str">
        <f>("G983")</f>
        <v>G983</v>
      </c>
      <c r="AE556" t="str">
        <f t="shared" si="227"/>
        <v>c.1</v>
      </c>
      <c r="AF556" t="str">
        <f t="shared" si="228"/>
        <v>1.可借圖書</v>
      </c>
      <c r="AG556" t="str">
        <f t="shared" si="229"/>
        <v>在架</v>
      </c>
      <c r="AI556" t="s">
        <v>65</v>
      </c>
      <c r="AK556" t="str">
        <f t="shared" si="222"/>
        <v>一般(Normal)</v>
      </c>
      <c r="AO556" t="s">
        <v>65</v>
      </c>
      <c r="AS556" t="str">
        <f>("c2001 ")</f>
        <v xml:space="preserve">c2001 </v>
      </c>
      <c r="AT556" t="str">
        <f t="shared" si="223"/>
        <v>catc</v>
      </c>
    </row>
    <row r="557" spans="1:46" x14ac:dyDescent="0.25">
      <c r="A557">
        <v>546</v>
      </c>
      <c r="B557" t="str">
        <f>("289380")</f>
        <v>289380</v>
      </c>
      <c r="C557" t="str">
        <f>("W00002582")</f>
        <v>W00002582</v>
      </c>
      <c r="D557" t="str">
        <f>("The growing business handbbok: Strategies for planning,funding and managing business growth/ ")</f>
        <v xml:space="preserve">The growing business handbbok: Strategies for planning,funding and managing business growth/ </v>
      </c>
      <c r="E557" t="str">
        <f>("Willsher, Richard")</f>
        <v>Willsher, Richard</v>
      </c>
      <c r="F557" t="str">
        <f>("Kogan, ")</f>
        <v xml:space="preserve">Kogan, </v>
      </c>
      <c r="G557" t="str">
        <f>("3rd. ed.")</f>
        <v>3rd. ed.</v>
      </c>
      <c r="H557" t="str">
        <f t="shared" si="225"/>
        <v>圖書 book</v>
      </c>
      <c r="I557" t="str">
        <f>("HF568.1 W741 2000")</f>
        <v>HF568.1 W741 2000</v>
      </c>
      <c r="J557" t="str">
        <f>("0749431555")</f>
        <v>0749431555</v>
      </c>
      <c r="K557" t="str">
        <f>("624")</f>
        <v>624</v>
      </c>
      <c r="L557" t="str">
        <f t="shared" si="224"/>
        <v>2001/10/10 00:00:00</v>
      </c>
      <c r="M557" t="str">
        <f>("2018/08/11 13:34:30")</f>
        <v>2018/08/11 13:34:30</v>
      </c>
      <c r="N557" t="str">
        <f>("2000")</f>
        <v>2000</v>
      </c>
      <c r="O557" t="str">
        <f t="shared" si="226"/>
        <v>4F西文書庫 4F Western Language Books</v>
      </c>
      <c r="P557" t="s">
        <v>64</v>
      </c>
      <c r="W557" t="str">
        <f t="shared" si="211"/>
        <v>美國國會圖書分類法</v>
      </c>
      <c r="Y557" t="str">
        <f>("HF568.1")</f>
        <v>HF568.1</v>
      </c>
      <c r="Z557" t="str">
        <f>("2018/08/11 13:34:30")</f>
        <v>2018/08/11 13:34:30</v>
      </c>
      <c r="AA557" t="str">
        <f t="shared" si="221"/>
        <v>catc</v>
      </c>
      <c r="AC557" t="str">
        <f>("W741")</f>
        <v>W741</v>
      </c>
      <c r="AE557" t="str">
        <f t="shared" si="227"/>
        <v>c.1</v>
      </c>
      <c r="AF557" t="str">
        <f t="shared" si="228"/>
        <v>1.可借圖書</v>
      </c>
      <c r="AG557" t="str">
        <f t="shared" si="229"/>
        <v>在架</v>
      </c>
      <c r="AI557" t="s">
        <v>65</v>
      </c>
      <c r="AK557" t="str">
        <f t="shared" si="222"/>
        <v>一般(Normal)</v>
      </c>
      <c r="AO557" t="s">
        <v>65</v>
      </c>
      <c r="AS557" t="str">
        <f>("c2000.")</f>
        <v>c2000.</v>
      </c>
      <c r="AT557" t="str">
        <f t="shared" si="223"/>
        <v>catc</v>
      </c>
    </row>
    <row r="558" spans="1:46" x14ac:dyDescent="0.25">
      <c r="A558">
        <v>547</v>
      </c>
      <c r="B558" t="str">
        <f>("288032")</f>
        <v>288032</v>
      </c>
      <c r="C558" t="str">
        <f>("W00002583")</f>
        <v>W00002583</v>
      </c>
      <c r="D558" t="str">
        <f>("Multinational finance / ")</f>
        <v xml:space="preserve">Multinational finance / </v>
      </c>
      <c r="E558" t="str">
        <f>("Butler, Kirt Charles. ")</f>
        <v xml:space="preserve">Butler, Kirt Charles. </v>
      </c>
      <c r="F558" t="str">
        <f>("South-Western College, ")</f>
        <v xml:space="preserve">South-Western College, </v>
      </c>
      <c r="G558" t="str">
        <f>("2nd ed. ")</f>
        <v xml:space="preserve">2nd ed. </v>
      </c>
      <c r="H558" t="str">
        <f t="shared" si="225"/>
        <v>圖書 book</v>
      </c>
      <c r="I558" t="str">
        <f>("HG4027.5 B986 2000")</f>
        <v>HG4027.5 B986 2000</v>
      </c>
      <c r="J558" t="str">
        <f>("0324004508")</f>
        <v>0324004508</v>
      </c>
      <c r="K558" t="str">
        <f>("1248")</f>
        <v>1248</v>
      </c>
      <c r="L558" t="str">
        <f t="shared" si="224"/>
        <v>2001/10/10 00:00:00</v>
      </c>
      <c r="M558" t="str">
        <f>("2018/08/11 13:32:17")</f>
        <v>2018/08/11 13:32:17</v>
      </c>
      <c r="N558" t="str">
        <f>("2000")</f>
        <v>2000</v>
      </c>
      <c r="O558" t="str">
        <f t="shared" si="226"/>
        <v>4F西文書庫 4F Western Language Books</v>
      </c>
      <c r="P558" t="s">
        <v>64</v>
      </c>
      <c r="S558" t="str">
        <f>("xxii, 682 p. : ")</f>
        <v xml:space="preserve">xxii, 682 p. : </v>
      </c>
      <c r="T558" t="str">
        <f>("ill. ; ")</f>
        <v xml:space="preserve">ill. ; </v>
      </c>
      <c r="U558" t="str">
        <f>("24 cm. ")</f>
        <v xml:space="preserve">24 cm. </v>
      </c>
      <c r="W558" t="str">
        <f t="shared" si="211"/>
        <v>美國國會圖書分類法</v>
      </c>
      <c r="Y558" t="str">
        <f>("HG4027.5")</f>
        <v>HG4027.5</v>
      </c>
      <c r="Z558" t="str">
        <f>("2018/08/11 13:32:17")</f>
        <v>2018/08/11 13:32:17</v>
      </c>
      <c r="AA558" t="str">
        <f t="shared" si="221"/>
        <v>catc</v>
      </c>
      <c r="AC558" t="str">
        <f>("B986")</f>
        <v>B986</v>
      </c>
      <c r="AE558" t="str">
        <f t="shared" si="227"/>
        <v>c.1</v>
      </c>
      <c r="AF558" t="str">
        <f t="shared" si="228"/>
        <v>1.可借圖書</v>
      </c>
      <c r="AG558" t="str">
        <f t="shared" si="229"/>
        <v>在架</v>
      </c>
      <c r="AI558" t="s">
        <v>65</v>
      </c>
      <c r="AK558" t="str">
        <f t="shared" si="222"/>
        <v>一般(Normal)</v>
      </c>
      <c r="AO558" t="s">
        <v>65</v>
      </c>
      <c r="AS558" t="str">
        <f>("c2000. ")</f>
        <v xml:space="preserve">c2000. </v>
      </c>
      <c r="AT558" t="str">
        <f t="shared" si="223"/>
        <v>catc</v>
      </c>
    </row>
    <row r="559" spans="1:46" x14ac:dyDescent="0.25">
      <c r="A559">
        <v>548</v>
      </c>
      <c r="B559" t="str">
        <f>("288014")</f>
        <v>288014</v>
      </c>
      <c r="C559" t="str">
        <f>("W00002584")</f>
        <v>W00002584</v>
      </c>
      <c r="D559" t="str">
        <f>("Business communication :process and product /")</f>
        <v>Business communication :process and product /</v>
      </c>
      <c r="E559" t="str">
        <f>("Guffey, Mary Ellen ")</f>
        <v xml:space="preserve">Guffey, Mary Ellen </v>
      </c>
      <c r="F559" t="str">
        <f>("South-Western College Pub.,")</f>
        <v>South-Western College Pub.,</v>
      </c>
      <c r="G559" t="str">
        <f>("3rd ed ")</f>
        <v xml:space="preserve">3rd ed </v>
      </c>
      <c r="H559" t="str">
        <f t="shared" si="225"/>
        <v>圖書 book</v>
      </c>
      <c r="I559" t="str">
        <f>("HF5718.3 G941 2000")</f>
        <v>HF5718.3 G941 2000</v>
      </c>
      <c r="J559" t="str">
        <f>("0324007663")</f>
        <v>0324007663</v>
      </c>
      <c r="K559" t="str">
        <f>("1248")</f>
        <v>1248</v>
      </c>
      <c r="L559" t="str">
        <f t="shared" si="224"/>
        <v>2001/10/10 00:00:00</v>
      </c>
      <c r="M559" t="str">
        <f>("2018/08/11 13:32:17")</f>
        <v>2018/08/11 13:32:17</v>
      </c>
      <c r="N559" t="str">
        <f>("2000")</f>
        <v>2000</v>
      </c>
      <c r="O559" t="str">
        <f t="shared" si="226"/>
        <v>4F西文書庫 4F Western Language Books</v>
      </c>
      <c r="P559" t="s">
        <v>64</v>
      </c>
      <c r="S559" t="str">
        <f>("1 v. (various pagings) :")</f>
        <v>1 v. (various pagings) :</v>
      </c>
      <c r="T559" t="str">
        <f>("col. ill. ;")</f>
        <v>col. ill. ;</v>
      </c>
      <c r="U559" t="str">
        <f>("27 cm ")</f>
        <v xml:space="preserve">27 cm </v>
      </c>
      <c r="W559" t="str">
        <f t="shared" si="211"/>
        <v>美國國會圖書分類法</v>
      </c>
      <c r="Y559" t="str">
        <f>("HF5718.3")</f>
        <v>HF5718.3</v>
      </c>
      <c r="Z559" t="str">
        <f>("2018/08/11 13:32:17")</f>
        <v>2018/08/11 13:32:17</v>
      </c>
      <c r="AA559" t="str">
        <f t="shared" si="221"/>
        <v>catc</v>
      </c>
      <c r="AC559" t="str">
        <f>("G941")</f>
        <v>G941</v>
      </c>
      <c r="AE559" t="str">
        <f t="shared" si="227"/>
        <v>c.1</v>
      </c>
      <c r="AF559" t="str">
        <f t="shared" si="228"/>
        <v>1.可借圖書</v>
      </c>
      <c r="AG559" t="str">
        <f t="shared" si="229"/>
        <v>在架</v>
      </c>
      <c r="AI559" t="s">
        <v>65</v>
      </c>
      <c r="AK559" t="str">
        <f t="shared" si="222"/>
        <v>一般(Normal)</v>
      </c>
      <c r="AO559" t="s">
        <v>65</v>
      </c>
      <c r="AS559" t="str">
        <f>("c2000 ")</f>
        <v xml:space="preserve">c2000 </v>
      </c>
      <c r="AT559" t="str">
        <f t="shared" si="223"/>
        <v>catc</v>
      </c>
    </row>
    <row r="560" spans="1:46" x14ac:dyDescent="0.25">
      <c r="A560">
        <v>549</v>
      </c>
      <c r="B560" t="str">
        <f>("289401")</f>
        <v>289401</v>
      </c>
      <c r="C560" t="str">
        <f>("W00002585")</f>
        <v>W00002585</v>
      </c>
      <c r="D560" t="str">
        <f>("Fundamentals of object-oriented design in UML / ")</f>
        <v xml:space="preserve">Fundamentals of object-oriented design in UML / </v>
      </c>
      <c r="E560" t="str">
        <f>("Page-Jones, Meilir. ")</f>
        <v xml:space="preserve">Page-Jones, Meilir. </v>
      </c>
      <c r="F560" t="str">
        <f>("Addison-Wesley, ;Dorset House Pub. ; ")</f>
        <v xml:space="preserve">Addison-Wesley, ;Dorset House Pub. ; </v>
      </c>
      <c r="H560" t="str">
        <f t="shared" si="225"/>
        <v>圖書 book</v>
      </c>
      <c r="I560" t="str">
        <f>("QA76.64.P33 P77 2000")</f>
        <v>QA76.64.P33 P77 2000</v>
      </c>
      <c r="J560" t="str">
        <f>("020169946X")</f>
        <v>020169946X</v>
      </c>
      <c r="K560" t="str">
        <f>("1120")</f>
        <v>1120</v>
      </c>
      <c r="L560" t="str">
        <f t="shared" si="224"/>
        <v>2001/10/10 00:00:00</v>
      </c>
      <c r="M560" t="str">
        <f t="shared" ref="M560:M569" si="232">("2018/08/11 13:34:31")</f>
        <v>2018/08/11 13:34:31</v>
      </c>
      <c r="N560" t="str">
        <f>("2000")</f>
        <v>2000</v>
      </c>
      <c r="O560" t="str">
        <f t="shared" si="226"/>
        <v>4F西文書庫 4F Western Language Books</v>
      </c>
      <c r="P560" t="s">
        <v>64</v>
      </c>
      <c r="W560" t="str">
        <f t="shared" si="211"/>
        <v>美國國會圖書分類法</v>
      </c>
      <c r="Y560" t="str">
        <f>("QA76.64.P33")</f>
        <v>QA76.64.P33</v>
      </c>
      <c r="Z560" t="str">
        <f>("2018/08/11 13:34:30")</f>
        <v>2018/08/11 13:34:30</v>
      </c>
      <c r="AA560" t="str">
        <f t="shared" si="221"/>
        <v>catc</v>
      </c>
      <c r="AC560" t="str">
        <f>("P77")</f>
        <v>P77</v>
      </c>
      <c r="AE560" t="str">
        <f t="shared" si="227"/>
        <v>c.1</v>
      </c>
      <c r="AF560" t="str">
        <f t="shared" si="228"/>
        <v>1.可借圖書</v>
      </c>
      <c r="AG560" t="str">
        <f t="shared" si="229"/>
        <v>在架</v>
      </c>
      <c r="AI560" t="s">
        <v>65</v>
      </c>
      <c r="AK560" t="str">
        <f t="shared" si="222"/>
        <v>一般(Normal)</v>
      </c>
      <c r="AO560" t="s">
        <v>65</v>
      </c>
      <c r="AS560" t="str">
        <f>("c2000. ")</f>
        <v xml:space="preserve">c2000. </v>
      </c>
      <c r="AT560" t="str">
        <f t="shared" si="223"/>
        <v>catc</v>
      </c>
    </row>
    <row r="561" spans="1:46" x14ac:dyDescent="0.25">
      <c r="A561">
        <v>550</v>
      </c>
      <c r="B561" t="str">
        <f>("289402")</f>
        <v>289402</v>
      </c>
      <c r="C561" t="str">
        <f>("W00002586")</f>
        <v>W00002586</v>
      </c>
      <c r="D561" t="str">
        <f>("Debugging Perl : troubleshooting for programmers / ")</f>
        <v xml:space="preserve">Debugging Perl : troubleshooting for programmers / </v>
      </c>
      <c r="E561" t="str">
        <f>("Brown, Martin C. ")</f>
        <v xml:space="preserve">Brown, Martin C. </v>
      </c>
      <c r="F561" t="str">
        <f>("Osborne/McGraw-Hill, ")</f>
        <v xml:space="preserve">Osborne/McGraw-Hill, </v>
      </c>
      <c r="H561" t="str">
        <f t="shared" si="225"/>
        <v>圖書 book</v>
      </c>
      <c r="I561" t="str">
        <f>("QA76.73.P22 B882 2001")</f>
        <v>QA76.73.P22 B882 2001</v>
      </c>
      <c r="J561" t="str">
        <f>("0072126760")</f>
        <v>0072126760</v>
      </c>
      <c r="K561" t="str">
        <f>("1120")</f>
        <v>1120</v>
      </c>
      <c r="L561" t="str">
        <f t="shared" si="224"/>
        <v>2001/10/10 00:00:00</v>
      </c>
      <c r="M561" t="str">
        <f t="shared" si="232"/>
        <v>2018/08/11 13:34:31</v>
      </c>
      <c r="N561" t="str">
        <f>("2001")</f>
        <v>2001</v>
      </c>
      <c r="O561" t="str">
        <f t="shared" si="226"/>
        <v>4F西文書庫 4F Western Language Books</v>
      </c>
      <c r="P561" t="s">
        <v>64</v>
      </c>
      <c r="W561" t="str">
        <f t="shared" si="211"/>
        <v>美國國會圖書分類法</v>
      </c>
      <c r="Y561" t="str">
        <f>("QA76.73.P22")</f>
        <v>QA76.73.P22</v>
      </c>
      <c r="Z561" t="str">
        <f t="shared" ref="Z561:Z570" si="233">("2018/08/11 13:34:31")</f>
        <v>2018/08/11 13:34:31</v>
      </c>
      <c r="AA561" t="str">
        <f t="shared" si="221"/>
        <v>catc</v>
      </c>
      <c r="AC561" t="str">
        <f>("B882")</f>
        <v>B882</v>
      </c>
      <c r="AE561" t="str">
        <f t="shared" si="227"/>
        <v>c.1</v>
      </c>
      <c r="AF561" t="str">
        <f t="shared" si="228"/>
        <v>1.可借圖書</v>
      </c>
      <c r="AG561" t="str">
        <f t="shared" si="229"/>
        <v>在架</v>
      </c>
      <c r="AI561" t="s">
        <v>65</v>
      </c>
      <c r="AK561" t="str">
        <f t="shared" si="222"/>
        <v>一般(Normal)</v>
      </c>
      <c r="AO561" t="s">
        <v>65</v>
      </c>
      <c r="AS561" t="str">
        <f>("c2001. ")</f>
        <v xml:space="preserve">c2001. </v>
      </c>
      <c r="AT561" t="str">
        <f t="shared" si="223"/>
        <v>catc</v>
      </c>
    </row>
    <row r="562" spans="1:46" x14ac:dyDescent="0.25">
      <c r="A562">
        <v>551</v>
      </c>
      <c r="B562" t="str">
        <f>("289403")</f>
        <v>289403</v>
      </c>
      <c r="C562" t="str">
        <f>("W00002587")</f>
        <v>W00002587</v>
      </c>
      <c r="D562" t="str">
        <f>("BizTalk : implementing business-to-business e-commerce / ")</f>
        <v xml:space="preserve">BizTalk : implementing business-to-business e-commerce / </v>
      </c>
      <c r="E562" t="str">
        <f>("Kobielus, James G. ")</f>
        <v xml:space="preserve">Kobielus, James G. </v>
      </c>
      <c r="F562" t="str">
        <f>("Prentice Hall, ")</f>
        <v xml:space="preserve">Prentice Hall, </v>
      </c>
      <c r="H562" t="str">
        <f t="shared" si="225"/>
        <v>圖書 book</v>
      </c>
      <c r="I562" t="str">
        <f>("HF5548.32 K75 2001")</f>
        <v>HF5548.32 K75 2001</v>
      </c>
      <c r="J562" t="str">
        <f>("0130891592")</f>
        <v>0130891592</v>
      </c>
      <c r="K562" t="str">
        <f>("1400")</f>
        <v>1400</v>
      </c>
      <c r="L562" t="str">
        <f t="shared" si="224"/>
        <v>2001/10/10 00:00:00</v>
      </c>
      <c r="M562" t="str">
        <f t="shared" si="232"/>
        <v>2018/08/11 13:34:31</v>
      </c>
      <c r="N562" t="str">
        <f>("2001")</f>
        <v>2001</v>
      </c>
      <c r="O562" t="str">
        <f t="shared" si="226"/>
        <v>4F西文書庫 4F Western Language Books</v>
      </c>
      <c r="P562" t="s">
        <v>64</v>
      </c>
      <c r="W562" t="str">
        <f t="shared" si="211"/>
        <v>美國國會圖書分類法</v>
      </c>
      <c r="Y562" t="str">
        <f>("HF5548.32")</f>
        <v>HF5548.32</v>
      </c>
      <c r="Z562" t="str">
        <f t="shared" si="233"/>
        <v>2018/08/11 13:34:31</v>
      </c>
      <c r="AA562" t="str">
        <f t="shared" si="221"/>
        <v>catc</v>
      </c>
      <c r="AC562" t="str">
        <f>("K75")</f>
        <v>K75</v>
      </c>
      <c r="AE562" t="str">
        <f t="shared" si="227"/>
        <v>c.1</v>
      </c>
      <c r="AF562" t="str">
        <f t="shared" si="228"/>
        <v>1.可借圖書</v>
      </c>
      <c r="AG562" t="str">
        <f t="shared" si="229"/>
        <v>在架</v>
      </c>
      <c r="AI562" t="s">
        <v>65</v>
      </c>
      <c r="AK562" t="str">
        <f t="shared" si="222"/>
        <v>一般(Normal)</v>
      </c>
      <c r="AO562" t="s">
        <v>65</v>
      </c>
      <c r="AS562" t="str">
        <f>("[c2001] ")</f>
        <v xml:space="preserve">[c2001] </v>
      </c>
      <c r="AT562" t="str">
        <f t="shared" si="223"/>
        <v>catc</v>
      </c>
    </row>
    <row r="563" spans="1:46" x14ac:dyDescent="0.25">
      <c r="A563">
        <v>552</v>
      </c>
      <c r="B563" t="str">
        <f>("289404")</f>
        <v>289404</v>
      </c>
      <c r="C563" t="str">
        <f>("W00002588")</f>
        <v>W00002588</v>
      </c>
      <c r="D563" t="str">
        <f>("Integrating Voice and data networks / ")</f>
        <v xml:space="preserve">Integrating Voice and data networks / </v>
      </c>
      <c r="E563" t="str">
        <f>("Keagy, Scott. ")</f>
        <v xml:space="preserve">Keagy, Scott. </v>
      </c>
      <c r="F563" t="str">
        <f>("Cisco Press, ")</f>
        <v xml:space="preserve">Cisco Press, </v>
      </c>
      <c r="H563" t="str">
        <f t="shared" si="225"/>
        <v>圖書 book</v>
      </c>
      <c r="I563" t="str">
        <f>("TK5105 K25 2000")</f>
        <v>TK5105 K25 2000</v>
      </c>
      <c r="J563" t="str">
        <f>("1578701961")</f>
        <v>1578701961</v>
      </c>
      <c r="K563" t="str">
        <f>("1498")</f>
        <v>1498</v>
      </c>
      <c r="L563" t="str">
        <f t="shared" si="224"/>
        <v>2001/10/10 00:00:00</v>
      </c>
      <c r="M563" t="str">
        <f t="shared" si="232"/>
        <v>2018/08/11 13:34:31</v>
      </c>
      <c r="N563" t="str">
        <f>("2000")</f>
        <v>2000</v>
      </c>
      <c r="O563" t="str">
        <f t="shared" si="226"/>
        <v>4F西文書庫 4F Western Language Books</v>
      </c>
      <c r="P563" t="s">
        <v>64</v>
      </c>
      <c r="S563" t="str">
        <f>("779 p. ; ")</f>
        <v xml:space="preserve">779 p. ; </v>
      </c>
      <c r="U563" t="str">
        <f>("24 cm. ")</f>
        <v xml:space="preserve">24 cm. </v>
      </c>
      <c r="W563" t="str">
        <f t="shared" si="211"/>
        <v>美國國會圖書分類法</v>
      </c>
      <c r="Y563" t="str">
        <f>("TK5105")</f>
        <v>TK5105</v>
      </c>
      <c r="Z563" t="str">
        <f t="shared" si="233"/>
        <v>2018/08/11 13:34:31</v>
      </c>
      <c r="AA563" t="str">
        <f t="shared" si="221"/>
        <v>catc</v>
      </c>
      <c r="AC563" t="str">
        <f>("K25")</f>
        <v>K25</v>
      </c>
      <c r="AE563" t="str">
        <f t="shared" si="227"/>
        <v>c.1</v>
      </c>
      <c r="AF563" t="str">
        <f t="shared" si="228"/>
        <v>1.可借圖書</v>
      </c>
      <c r="AG563" t="str">
        <f t="shared" si="229"/>
        <v>在架</v>
      </c>
      <c r="AI563" t="s">
        <v>65</v>
      </c>
      <c r="AK563" t="str">
        <f t="shared" si="222"/>
        <v>一般(Normal)</v>
      </c>
      <c r="AO563" t="s">
        <v>65</v>
      </c>
      <c r="AS563" t="str">
        <f>("2000. ")</f>
        <v xml:space="preserve">2000. </v>
      </c>
      <c r="AT563" t="str">
        <f t="shared" si="223"/>
        <v>catc</v>
      </c>
    </row>
    <row r="564" spans="1:46" x14ac:dyDescent="0.25">
      <c r="A564">
        <v>553</v>
      </c>
      <c r="B564" t="str">
        <f>("289405")</f>
        <v>289405</v>
      </c>
      <c r="C564" t="str">
        <f>("W00002589")</f>
        <v>W00002589</v>
      </c>
      <c r="D564" t="str">
        <f>("Practical Linux  ")</f>
        <v xml:space="preserve">Practical Linux  </v>
      </c>
      <c r="E564" t="str">
        <f>("Streib, M. Drew. ")</f>
        <v xml:space="preserve">Streib, M. Drew. </v>
      </c>
      <c r="F564" t="str">
        <f>("Que, ")</f>
        <v xml:space="preserve">Que, </v>
      </c>
      <c r="H564" t="str">
        <f t="shared" si="225"/>
        <v>圖書 book</v>
      </c>
      <c r="I564" t="str">
        <f>("QA76.76.O63 P896 2000")</f>
        <v>QA76.76.O63 P896 2000</v>
      </c>
      <c r="J564" t="str">
        <f>("0789722518")</f>
        <v>0789722518</v>
      </c>
      <c r="K564" t="str">
        <f>("840")</f>
        <v>840</v>
      </c>
      <c r="L564" t="str">
        <f t="shared" si="224"/>
        <v>2001/10/10 00:00:00</v>
      </c>
      <c r="M564" t="str">
        <f t="shared" si="232"/>
        <v>2018/08/11 13:34:31</v>
      </c>
      <c r="N564" t="str">
        <f>("2000")</f>
        <v>2000</v>
      </c>
      <c r="O564" t="str">
        <f t="shared" si="226"/>
        <v>4F西文書庫 4F Western Language Books</v>
      </c>
      <c r="P564" t="s">
        <v>64</v>
      </c>
      <c r="W564" t="str">
        <f t="shared" si="211"/>
        <v>美國國會圖書分類法</v>
      </c>
      <c r="Y564" t="str">
        <f>("QA76.76.O63")</f>
        <v>QA76.76.O63</v>
      </c>
      <c r="Z564" t="str">
        <f t="shared" si="233"/>
        <v>2018/08/11 13:34:31</v>
      </c>
      <c r="AA564" t="str">
        <f t="shared" si="221"/>
        <v>catc</v>
      </c>
      <c r="AC564" t="str">
        <f>("P896")</f>
        <v>P896</v>
      </c>
      <c r="AE564" t="str">
        <f t="shared" si="227"/>
        <v>c.1</v>
      </c>
      <c r="AF564" t="str">
        <f t="shared" si="228"/>
        <v>1.可借圖書</v>
      </c>
      <c r="AG564" t="str">
        <f t="shared" si="229"/>
        <v>在架</v>
      </c>
      <c r="AI564" t="s">
        <v>65</v>
      </c>
      <c r="AK564" t="str">
        <f t="shared" si="222"/>
        <v>一般(Normal)</v>
      </c>
      <c r="AO564" t="s">
        <v>65</v>
      </c>
      <c r="AS564" t="str">
        <f>("c2000. ")</f>
        <v xml:space="preserve">c2000. </v>
      </c>
      <c r="AT564" t="str">
        <f t="shared" si="223"/>
        <v>catc</v>
      </c>
    </row>
    <row r="565" spans="1:46" x14ac:dyDescent="0.25">
      <c r="A565">
        <v>554</v>
      </c>
      <c r="B565" t="str">
        <f>("289406")</f>
        <v>289406</v>
      </c>
      <c r="C565" t="str">
        <f>("W00002590")</f>
        <v>W00002590</v>
      </c>
      <c r="D565" t="str">
        <f>("Essential COM  ")</f>
        <v xml:space="preserve">Essential COM  </v>
      </c>
      <c r="E565" t="str">
        <f>("Box, Don, 1962- ")</f>
        <v xml:space="preserve">Box, Don, 1962- </v>
      </c>
      <c r="F565" t="str">
        <f>("Addison Wesley, ")</f>
        <v xml:space="preserve">Addison Wesley, </v>
      </c>
      <c r="H565" t="str">
        <f t="shared" si="225"/>
        <v>圖書 book</v>
      </c>
      <c r="I565" t="str">
        <f>("QA76.64 B662 1998")</f>
        <v>QA76.64 B662 1998</v>
      </c>
      <c r="J565" t="str">
        <f>("0201634465")</f>
        <v>0201634465</v>
      </c>
      <c r="K565" t="str">
        <f>("984")</f>
        <v>984</v>
      </c>
      <c r="L565" t="str">
        <f t="shared" si="224"/>
        <v>2001/10/10 00:00:00</v>
      </c>
      <c r="M565" t="str">
        <f t="shared" si="232"/>
        <v>2018/08/11 13:34:31</v>
      </c>
      <c r="N565" t="str">
        <f>("1998")</f>
        <v>1998</v>
      </c>
      <c r="O565" t="str">
        <f t="shared" si="226"/>
        <v>4F西文書庫 4F Western Language Books</v>
      </c>
      <c r="P565" t="s">
        <v>64</v>
      </c>
      <c r="W565" t="str">
        <f t="shared" ref="W565:W628" si="234">("美國國會圖書分類法")</f>
        <v>美國國會圖書分類法</v>
      </c>
      <c r="Y565" t="str">
        <f>("QA76.64")</f>
        <v>QA76.64</v>
      </c>
      <c r="Z565" t="str">
        <f t="shared" si="233"/>
        <v>2018/08/11 13:34:31</v>
      </c>
      <c r="AA565" t="str">
        <f t="shared" si="221"/>
        <v>catc</v>
      </c>
      <c r="AC565" t="str">
        <f>("B662")</f>
        <v>B662</v>
      </c>
      <c r="AE565" t="str">
        <f t="shared" si="227"/>
        <v>c.1</v>
      </c>
      <c r="AF565" t="str">
        <f t="shared" si="228"/>
        <v>1.可借圖書</v>
      </c>
      <c r="AG565" t="str">
        <f t="shared" si="229"/>
        <v>在架</v>
      </c>
      <c r="AI565" t="s">
        <v>65</v>
      </c>
      <c r="AK565" t="str">
        <f t="shared" si="222"/>
        <v>一般(Normal)</v>
      </c>
      <c r="AO565" t="s">
        <v>65</v>
      </c>
      <c r="AS565" t="str">
        <f>("c1998. ")</f>
        <v xml:space="preserve">c1998. </v>
      </c>
      <c r="AT565" t="str">
        <f t="shared" si="223"/>
        <v>catc</v>
      </c>
    </row>
    <row r="566" spans="1:46" x14ac:dyDescent="0.25">
      <c r="A566">
        <v>555</v>
      </c>
      <c r="B566" t="str">
        <f>("289407")</f>
        <v>289407</v>
      </c>
      <c r="C566" t="str">
        <f>("W00002591")</f>
        <v>W00002591</v>
      </c>
      <c r="D566" t="str">
        <f>("The XML handbook / ")</f>
        <v xml:space="preserve">The XML handbook / </v>
      </c>
      <c r="E566" t="str">
        <f>("Goldfarb, Charles F. ")</f>
        <v xml:space="preserve">Goldfarb, Charles F. </v>
      </c>
      <c r="F566" t="str">
        <f>("Prentice Hall, ")</f>
        <v xml:space="preserve">Prentice Hall, </v>
      </c>
      <c r="G566" t="str">
        <f>("3rd ed. ")</f>
        <v xml:space="preserve">3rd ed. </v>
      </c>
      <c r="H566" t="str">
        <f t="shared" si="225"/>
        <v>圖書 book</v>
      </c>
      <c r="I566" t="str">
        <f>("QA76.76.H94 G618 2001")</f>
        <v>QA76.76.H94 G618 2001</v>
      </c>
      <c r="J566" t="str">
        <f>("013055068X")</f>
        <v>013055068X</v>
      </c>
      <c r="K566" t="str">
        <f>("1400")</f>
        <v>1400</v>
      </c>
      <c r="L566" t="str">
        <f t="shared" si="224"/>
        <v>2001/10/10 00:00:00</v>
      </c>
      <c r="M566" t="str">
        <f t="shared" si="232"/>
        <v>2018/08/11 13:34:31</v>
      </c>
      <c r="N566" t="str">
        <f>("2001")</f>
        <v>2001</v>
      </c>
      <c r="O566" t="str">
        <f t="shared" si="226"/>
        <v>4F西文書庫 4F Western Language Books</v>
      </c>
      <c r="P566" t="s">
        <v>64</v>
      </c>
      <c r="Q566" t="str">
        <f>("一張光碟片")</f>
        <v>一張光碟片</v>
      </c>
      <c r="W566" t="str">
        <f t="shared" si="234"/>
        <v>美國國會圖書分類法</v>
      </c>
      <c r="Y566" t="str">
        <f>("QA76.76.H94")</f>
        <v>QA76.76.H94</v>
      </c>
      <c r="Z566" t="str">
        <f t="shared" si="233"/>
        <v>2018/08/11 13:34:31</v>
      </c>
      <c r="AA566" t="str">
        <f t="shared" si="221"/>
        <v>catc</v>
      </c>
      <c r="AC566" t="str">
        <f>("G618")</f>
        <v>G618</v>
      </c>
      <c r="AE566" t="str">
        <f t="shared" si="227"/>
        <v>c.1</v>
      </c>
      <c r="AF566" t="str">
        <f t="shared" si="228"/>
        <v>1.可借圖書</v>
      </c>
      <c r="AG566" t="str">
        <f t="shared" si="229"/>
        <v>在架</v>
      </c>
      <c r="AI566" t="s">
        <v>65</v>
      </c>
      <c r="AK566" t="str">
        <f t="shared" si="222"/>
        <v>一般(Normal)</v>
      </c>
      <c r="AO566" t="s">
        <v>65</v>
      </c>
      <c r="AS566" t="str">
        <f>("c2001. ")</f>
        <v xml:space="preserve">c2001. </v>
      </c>
      <c r="AT566" t="str">
        <f t="shared" si="223"/>
        <v>catc</v>
      </c>
    </row>
    <row r="567" spans="1:46" x14ac:dyDescent="0.25">
      <c r="A567">
        <v>556</v>
      </c>
      <c r="B567" t="str">
        <f>("289408")</f>
        <v>289408</v>
      </c>
      <c r="C567" t="str">
        <f>("W00002592")</f>
        <v>W00002592</v>
      </c>
      <c r="D567" t="str">
        <f>("Essential IDL : interface design for COM / ")</f>
        <v xml:space="preserve">Essential IDL : interface design for COM / </v>
      </c>
      <c r="E567" t="str">
        <f>("Gudgin, Martin. ")</f>
        <v xml:space="preserve">Gudgin, Martin. </v>
      </c>
      <c r="F567" t="str">
        <f>("Addison-Wesley, ")</f>
        <v xml:space="preserve">Addison-Wesley, </v>
      </c>
      <c r="H567" t="str">
        <f t="shared" si="225"/>
        <v>圖書 book</v>
      </c>
      <c r="I567" t="str">
        <f>("QA76.73.I194 G922 2000")</f>
        <v>QA76.73.I194 G922 2000</v>
      </c>
      <c r="J567" t="str">
        <f>("0201615959")</f>
        <v>0201615959</v>
      </c>
      <c r="K567" t="str">
        <f>("1120")</f>
        <v>1120</v>
      </c>
      <c r="L567" t="str">
        <f t="shared" si="224"/>
        <v>2001/10/10 00:00:00</v>
      </c>
      <c r="M567" t="str">
        <f t="shared" si="232"/>
        <v>2018/08/11 13:34:31</v>
      </c>
      <c r="N567" t="str">
        <f>("2000")</f>
        <v>2000</v>
      </c>
      <c r="O567" t="str">
        <f t="shared" si="226"/>
        <v>4F西文書庫 4F Western Language Books</v>
      </c>
      <c r="P567" t="s">
        <v>64</v>
      </c>
      <c r="W567" t="str">
        <f t="shared" si="234"/>
        <v>美國國會圖書分類法</v>
      </c>
      <c r="Y567" t="str">
        <f>("QA76.73.I194")</f>
        <v>QA76.73.I194</v>
      </c>
      <c r="Z567" t="str">
        <f t="shared" si="233"/>
        <v>2018/08/11 13:34:31</v>
      </c>
      <c r="AA567" t="str">
        <f t="shared" si="221"/>
        <v>catc</v>
      </c>
      <c r="AC567" t="str">
        <f>("G922")</f>
        <v>G922</v>
      </c>
      <c r="AE567" t="str">
        <f t="shared" si="227"/>
        <v>c.1</v>
      </c>
      <c r="AF567" t="str">
        <f t="shared" si="228"/>
        <v>1.可借圖書</v>
      </c>
      <c r="AG567" t="str">
        <f t="shared" si="229"/>
        <v>在架</v>
      </c>
      <c r="AI567" t="s">
        <v>65</v>
      </c>
      <c r="AK567" t="str">
        <f t="shared" si="222"/>
        <v>一般(Normal)</v>
      </c>
      <c r="AO567" t="s">
        <v>65</v>
      </c>
      <c r="AS567" t="str">
        <f>("2000. ")</f>
        <v xml:space="preserve">2000. </v>
      </c>
      <c r="AT567" t="str">
        <f t="shared" si="223"/>
        <v>catc</v>
      </c>
    </row>
    <row r="568" spans="1:46" x14ac:dyDescent="0.25">
      <c r="A568">
        <v>557</v>
      </c>
      <c r="B568" t="str">
        <f>("289394")</f>
        <v>289394</v>
      </c>
      <c r="C568" t="str">
        <f>("W00002593")</f>
        <v>W00002593</v>
      </c>
      <c r="D568" t="str">
        <f>("Building high-speed networks / ")</f>
        <v xml:space="preserve">Building high-speed networks / </v>
      </c>
      <c r="E568" t="str">
        <f>("Parnell, Tere. ")</f>
        <v xml:space="preserve">Parnell, Tere. </v>
      </c>
      <c r="F568" t="str">
        <f>("Osborne/McGraw-Hill, ")</f>
        <v xml:space="preserve">Osborne/McGraw-Hill, </v>
      </c>
      <c r="H568" t="str">
        <f t="shared" si="225"/>
        <v>圖書 book</v>
      </c>
      <c r="I568" t="str">
        <f>("TK5105.7 P256 1999")</f>
        <v>TK5105.7 P256 1999</v>
      </c>
      <c r="J568" t="str">
        <f>("007211858X")</f>
        <v>007211858X</v>
      </c>
      <c r="K568" t="str">
        <f>("1264")</f>
        <v>1264</v>
      </c>
      <c r="L568" t="str">
        <f t="shared" si="224"/>
        <v>2001/10/10 00:00:00</v>
      </c>
      <c r="M568" t="str">
        <f t="shared" si="232"/>
        <v>2018/08/11 13:34:31</v>
      </c>
      <c r="N568" t="str">
        <f>("1999")</f>
        <v>1999</v>
      </c>
      <c r="O568" t="str">
        <f t="shared" si="226"/>
        <v>4F西文書庫 4F Western Language Books</v>
      </c>
      <c r="P568" t="s">
        <v>64</v>
      </c>
      <c r="W568" t="str">
        <f t="shared" si="234"/>
        <v>美國國會圖書分類法</v>
      </c>
      <c r="Y568" t="str">
        <f>("TK5105.7")</f>
        <v>TK5105.7</v>
      </c>
      <c r="Z568" t="str">
        <f t="shared" si="233"/>
        <v>2018/08/11 13:34:31</v>
      </c>
      <c r="AA568" t="str">
        <f t="shared" si="221"/>
        <v>catc</v>
      </c>
      <c r="AC568" t="str">
        <f>("P256")</f>
        <v>P256</v>
      </c>
      <c r="AE568" t="str">
        <f t="shared" si="227"/>
        <v>c.1</v>
      </c>
      <c r="AF568" t="str">
        <f t="shared" si="228"/>
        <v>1.可借圖書</v>
      </c>
      <c r="AG568" t="str">
        <f t="shared" si="229"/>
        <v>在架</v>
      </c>
      <c r="AI568" t="s">
        <v>65</v>
      </c>
      <c r="AK568" t="str">
        <f t="shared" si="222"/>
        <v>一般(Normal)</v>
      </c>
      <c r="AO568" t="s">
        <v>65</v>
      </c>
      <c r="AS568" t="str">
        <f>("c1999. ")</f>
        <v xml:space="preserve">c1999. </v>
      </c>
      <c r="AT568" t="str">
        <f t="shared" si="223"/>
        <v>catc</v>
      </c>
    </row>
    <row r="569" spans="1:46" x14ac:dyDescent="0.25">
      <c r="A569">
        <v>558</v>
      </c>
      <c r="B569" t="str">
        <f>("289395")</f>
        <v>289395</v>
      </c>
      <c r="C569" t="str">
        <f>("W00002594")</f>
        <v>W00002594</v>
      </c>
      <c r="D569" t="str">
        <f>("Get Linux certified and get ahead / ")</f>
        <v xml:space="preserve">Get Linux certified and get ahead / </v>
      </c>
      <c r="E569" t="str">
        <f>("Martinez, Anne. ")</f>
        <v xml:space="preserve">Martinez, Anne. </v>
      </c>
      <c r="F569" t="str">
        <f>("McGraw-Hill, ")</f>
        <v xml:space="preserve">McGraw-Hill, </v>
      </c>
      <c r="H569" t="str">
        <f t="shared" si="225"/>
        <v>圖書 book</v>
      </c>
      <c r="I569" t="str">
        <f>("QA76.3 M385 2000")</f>
        <v>QA76.3 M385 2000</v>
      </c>
      <c r="J569" t="str">
        <f>("0072123338")</f>
        <v>0072123338</v>
      </c>
      <c r="K569" t="str">
        <f>("704")</f>
        <v>704</v>
      </c>
      <c r="L569" t="str">
        <f t="shared" si="224"/>
        <v>2001/10/10 00:00:00</v>
      </c>
      <c r="M569" t="str">
        <f t="shared" si="232"/>
        <v>2018/08/11 13:34:31</v>
      </c>
      <c r="N569" t="str">
        <f>("2000")</f>
        <v>2000</v>
      </c>
      <c r="O569" t="str">
        <f t="shared" si="226"/>
        <v>4F西文書庫 4F Western Language Books</v>
      </c>
      <c r="P569" t="s">
        <v>64</v>
      </c>
      <c r="W569" t="str">
        <f t="shared" si="234"/>
        <v>美國國會圖書分類法</v>
      </c>
      <c r="Y569" t="str">
        <f>("QA76.3")</f>
        <v>QA76.3</v>
      </c>
      <c r="Z569" t="str">
        <f t="shared" si="233"/>
        <v>2018/08/11 13:34:31</v>
      </c>
      <c r="AA569" t="str">
        <f t="shared" si="221"/>
        <v>catc</v>
      </c>
      <c r="AC569" t="str">
        <f>("M385")</f>
        <v>M385</v>
      </c>
      <c r="AE569" t="str">
        <f t="shared" si="227"/>
        <v>c.1</v>
      </c>
      <c r="AF569" t="str">
        <f t="shared" si="228"/>
        <v>1.可借圖書</v>
      </c>
      <c r="AG569" t="str">
        <f t="shared" si="229"/>
        <v>在架</v>
      </c>
      <c r="AI569" t="s">
        <v>65</v>
      </c>
      <c r="AK569" t="str">
        <f t="shared" si="222"/>
        <v>一般(Normal)</v>
      </c>
      <c r="AO569" t="s">
        <v>65</v>
      </c>
      <c r="AS569" t="str">
        <f>("c2000. ")</f>
        <v xml:space="preserve">c2000. </v>
      </c>
      <c r="AT569" t="str">
        <f t="shared" si="223"/>
        <v>catc</v>
      </c>
    </row>
    <row r="570" spans="1:46" x14ac:dyDescent="0.25">
      <c r="A570">
        <v>559</v>
      </c>
      <c r="B570" t="str">
        <f>("289396")</f>
        <v>289396</v>
      </c>
      <c r="C570" t="str">
        <f>("W00002595")</f>
        <v>W00002595</v>
      </c>
      <c r="D570" t="str">
        <f>("Sams teach yourself SQL in 21 days / ")</f>
        <v xml:space="preserve">Sams teach yourself SQL in 21 days / </v>
      </c>
      <c r="E570" t="str">
        <f>("Stephens, Ryan K. ")</f>
        <v xml:space="preserve">Stephens, Ryan K. </v>
      </c>
      <c r="F570" t="str">
        <f>("Sams, ")</f>
        <v xml:space="preserve">Sams, </v>
      </c>
      <c r="G570" t="str">
        <f>("3rd ed. ")</f>
        <v xml:space="preserve">3rd ed. </v>
      </c>
      <c r="H570" t="str">
        <f t="shared" si="225"/>
        <v>圖書 book</v>
      </c>
      <c r="I570" t="str">
        <f>("QA76.73.S67 S832 2000")</f>
        <v>QA76.73.S67 S832 2000</v>
      </c>
      <c r="J570" t="str">
        <f>("0672316749")</f>
        <v>0672316749</v>
      </c>
      <c r="K570" t="str">
        <f>("984")</f>
        <v>984</v>
      </c>
      <c r="L570" t="str">
        <f t="shared" si="224"/>
        <v>2001/10/10 00:00:00</v>
      </c>
      <c r="M570" t="str">
        <f t="shared" ref="M570:M580" si="235">("2018/08/11 13:34:32")</f>
        <v>2018/08/11 13:34:32</v>
      </c>
      <c r="N570" t="str">
        <f>("2000")</f>
        <v>2000</v>
      </c>
      <c r="O570" t="str">
        <f t="shared" si="226"/>
        <v>4F西文書庫 4F Western Language Books</v>
      </c>
      <c r="P570" t="s">
        <v>64</v>
      </c>
      <c r="W570" t="str">
        <f t="shared" si="234"/>
        <v>美國國會圖書分類法</v>
      </c>
      <c r="Y570" t="str">
        <f>("QA76.73.S67")</f>
        <v>QA76.73.S67</v>
      </c>
      <c r="Z570" t="str">
        <f t="shared" si="233"/>
        <v>2018/08/11 13:34:31</v>
      </c>
      <c r="AA570" t="str">
        <f t="shared" si="221"/>
        <v>catc</v>
      </c>
      <c r="AC570" t="str">
        <f>("S832")</f>
        <v>S832</v>
      </c>
      <c r="AE570" t="str">
        <f t="shared" si="227"/>
        <v>c.1</v>
      </c>
      <c r="AF570" t="str">
        <f t="shared" si="228"/>
        <v>1.可借圖書</v>
      </c>
      <c r="AG570" t="str">
        <f t="shared" si="229"/>
        <v>在架</v>
      </c>
      <c r="AI570" t="s">
        <v>65</v>
      </c>
      <c r="AK570" t="str">
        <f t="shared" si="222"/>
        <v>一般(Normal)</v>
      </c>
      <c r="AO570" t="s">
        <v>65</v>
      </c>
      <c r="AS570" t="str">
        <f>("2000. ")</f>
        <v xml:space="preserve">2000. </v>
      </c>
      <c r="AT570" t="str">
        <f t="shared" si="223"/>
        <v>catc</v>
      </c>
    </row>
    <row r="571" spans="1:46" x14ac:dyDescent="0.25">
      <c r="A571">
        <v>560</v>
      </c>
      <c r="B571" t="str">
        <f>("289397")</f>
        <v>289397</v>
      </c>
      <c r="C571" t="str">
        <f>("W00002596")</f>
        <v>W00002596</v>
      </c>
      <c r="D571" t="str">
        <f>("Debugging Visual Basic : troubleshooting for programmers / ")</f>
        <v xml:space="preserve">Debugging Visual Basic : troubleshooting for programmers / </v>
      </c>
      <c r="E571" t="str">
        <f>("Jung, David G., 1966- ")</f>
        <v xml:space="preserve">Jung, David G., 1966- </v>
      </c>
      <c r="F571" t="str">
        <f>("Osborne/McGraw-Hill, ")</f>
        <v xml:space="preserve">Osborne/McGraw-Hill, </v>
      </c>
      <c r="H571" t="str">
        <f t="shared" si="225"/>
        <v>圖書 book</v>
      </c>
      <c r="I571" t="str">
        <f>("QA76.9.D43 J95 2000")</f>
        <v>QA76.9.D43 J95 2000</v>
      </c>
      <c r="J571" t="str">
        <f>("0072125187")</f>
        <v>0072125187</v>
      </c>
      <c r="K571" t="str">
        <f>("1196")</f>
        <v>1196</v>
      </c>
      <c r="L571" t="str">
        <f t="shared" si="224"/>
        <v>2001/10/10 00:00:00</v>
      </c>
      <c r="M571" t="str">
        <f t="shared" si="235"/>
        <v>2018/08/11 13:34:32</v>
      </c>
      <c r="N571" t="str">
        <f>("2000")</f>
        <v>2000</v>
      </c>
      <c r="O571" t="str">
        <f t="shared" si="226"/>
        <v>4F西文書庫 4F Western Language Books</v>
      </c>
      <c r="P571" t="s">
        <v>64</v>
      </c>
      <c r="W571" t="str">
        <f t="shared" si="234"/>
        <v>美國國會圖書分類法</v>
      </c>
      <c r="Y571" t="str">
        <f>("QA76.9.D43")</f>
        <v>QA76.9.D43</v>
      </c>
      <c r="Z571" t="str">
        <f t="shared" ref="Z571:Z580" si="236">("2018/08/11 13:34:32")</f>
        <v>2018/08/11 13:34:32</v>
      </c>
      <c r="AA571" t="str">
        <f t="shared" si="221"/>
        <v>catc</v>
      </c>
      <c r="AC571" t="str">
        <f>("J95")</f>
        <v>J95</v>
      </c>
      <c r="AE571" t="str">
        <f t="shared" si="227"/>
        <v>c.1</v>
      </c>
      <c r="AF571" t="str">
        <f t="shared" si="228"/>
        <v>1.可借圖書</v>
      </c>
      <c r="AG571" t="str">
        <f t="shared" si="229"/>
        <v>在架</v>
      </c>
      <c r="AI571" t="s">
        <v>65</v>
      </c>
      <c r="AK571" t="str">
        <f t="shared" si="222"/>
        <v>一般(Normal)</v>
      </c>
      <c r="AO571" t="s">
        <v>65</v>
      </c>
      <c r="AS571" t="str">
        <f>("c2000. ")</f>
        <v xml:space="preserve">c2000. </v>
      </c>
      <c r="AT571" t="str">
        <f t="shared" si="223"/>
        <v>catc</v>
      </c>
    </row>
    <row r="572" spans="1:46" x14ac:dyDescent="0.25">
      <c r="A572">
        <v>561</v>
      </c>
      <c r="B572" t="str">
        <f>("289398")</f>
        <v>289398</v>
      </c>
      <c r="C572" t="str">
        <f>("W00002597")</f>
        <v>W00002597</v>
      </c>
      <c r="D572" t="str">
        <f>("eBusiness : a beginner's guide / ")</f>
        <v xml:space="preserve">eBusiness : a beginner's guide / </v>
      </c>
      <c r="E572" t="str">
        <f>("Elsenpeter, Robert C., 1970- ")</f>
        <v xml:space="preserve">Elsenpeter, Robert C., 1970- </v>
      </c>
      <c r="F572" t="str">
        <f>("Osborne, ")</f>
        <v xml:space="preserve">Osborne, </v>
      </c>
      <c r="H572" t="str">
        <f t="shared" si="225"/>
        <v>圖書 book</v>
      </c>
      <c r="I572" t="str">
        <f>("HF5548.32 E49 2001")</f>
        <v>HF5548.32 E49 2001</v>
      </c>
      <c r="J572" t="str">
        <f>("0072127449")</f>
        <v>0072127449</v>
      </c>
      <c r="K572" t="str">
        <f>("1120")</f>
        <v>1120</v>
      </c>
      <c r="L572" t="str">
        <f t="shared" si="224"/>
        <v>2001/10/10 00:00:00</v>
      </c>
      <c r="M572" t="str">
        <f t="shared" si="235"/>
        <v>2018/08/11 13:34:32</v>
      </c>
      <c r="N572" t="str">
        <f>("2001")</f>
        <v>2001</v>
      </c>
      <c r="O572" t="str">
        <f t="shared" si="226"/>
        <v>4F西文書庫 4F Western Language Books</v>
      </c>
      <c r="P572" t="s">
        <v>64</v>
      </c>
      <c r="W572" t="str">
        <f t="shared" si="234"/>
        <v>美國國會圖書分類法</v>
      </c>
      <c r="Y572" t="str">
        <f>("HF5548.32")</f>
        <v>HF5548.32</v>
      </c>
      <c r="Z572" t="str">
        <f t="shared" si="236"/>
        <v>2018/08/11 13:34:32</v>
      </c>
      <c r="AA572" t="str">
        <f t="shared" si="221"/>
        <v>catc</v>
      </c>
      <c r="AC572" t="str">
        <f>("E49")</f>
        <v>E49</v>
      </c>
      <c r="AE572" t="str">
        <f t="shared" si="227"/>
        <v>c.1</v>
      </c>
      <c r="AF572" t="str">
        <f t="shared" si="228"/>
        <v>1.可借圖書</v>
      </c>
      <c r="AG572" t="str">
        <f t="shared" si="229"/>
        <v>在架</v>
      </c>
      <c r="AI572" t="s">
        <v>65</v>
      </c>
      <c r="AK572" t="str">
        <f t="shared" si="222"/>
        <v>一般(Normal)</v>
      </c>
      <c r="AO572" t="s">
        <v>65</v>
      </c>
      <c r="AS572" t="str">
        <f>("c2001. ")</f>
        <v xml:space="preserve">c2001. </v>
      </c>
      <c r="AT572" t="str">
        <f t="shared" si="223"/>
        <v>catc</v>
      </c>
    </row>
    <row r="573" spans="1:46" x14ac:dyDescent="0.25">
      <c r="A573">
        <v>562</v>
      </c>
      <c r="B573" t="str">
        <f>("289399")</f>
        <v>289399</v>
      </c>
      <c r="C573" t="str">
        <f>("W00002598")</f>
        <v>W00002598</v>
      </c>
      <c r="D573" t="str">
        <f>("Sams teach yourself transact-SQL in 21 days / ")</f>
        <v xml:space="preserve">Sams teach yourself transact-SQL in 21 days / </v>
      </c>
      <c r="E573" t="str">
        <f>("Soloman, David. ")</f>
        <v xml:space="preserve">Soloman, David. </v>
      </c>
      <c r="F573" t="str">
        <f>("Macmillan USA, ")</f>
        <v xml:space="preserve">Macmillan USA, </v>
      </c>
      <c r="H573" t="str">
        <f t="shared" si="225"/>
        <v>圖書 book</v>
      </c>
      <c r="I573" t="str">
        <f>("QA76.73.S67 S689 2000")</f>
        <v>QA76.73.S67 S689 2000</v>
      </c>
      <c r="J573" t="str">
        <f>("0672319675")</f>
        <v>0672319675</v>
      </c>
      <c r="K573" t="str">
        <f>("984")</f>
        <v>984</v>
      </c>
      <c r="L573" t="str">
        <f t="shared" si="224"/>
        <v>2001/10/10 00:00:00</v>
      </c>
      <c r="M573" t="str">
        <f t="shared" si="235"/>
        <v>2018/08/11 13:34:32</v>
      </c>
      <c r="N573" t="str">
        <f>("2000")</f>
        <v>2000</v>
      </c>
      <c r="O573" t="str">
        <f t="shared" si="226"/>
        <v>4F西文書庫 4F Western Language Books</v>
      </c>
      <c r="P573" t="s">
        <v>64</v>
      </c>
      <c r="W573" t="str">
        <f t="shared" si="234"/>
        <v>美國國會圖書分類法</v>
      </c>
      <c r="Y573" t="str">
        <f>("QA76.73.S67")</f>
        <v>QA76.73.S67</v>
      </c>
      <c r="Z573" t="str">
        <f t="shared" si="236"/>
        <v>2018/08/11 13:34:32</v>
      </c>
      <c r="AA573" t="str">
        <f t="shared" si="221"/>
        <v>catc</v>
      </c>
      <c r="AC573" t="str">
        <f>("S689")</f>
        <v>S689</v>
      </c>
      <c r="AE573" t="str">
        <f t="shared" si="227"/>
        <v>c.1</v>
      </c>
      <c r="AF573" t="str">
        <f t="shared" si="228"/>
        <v>1.可借圖書</v>
      </c>
      <c r="AG573" t="str">
        <f t="shared" si="229"/>
        <v>在架</v>
      </c>
      <c r="AI573" t="s">
        <v>65</v>
      </c>
      <c r="AK573" t="str">
        <f t="shared" si="222"/>
        <v>一般(Normal)</v>
      </c>
      <c r="AO573" t="s">
        <v>65</v>
      </c>
      <c r="AS573" t="str">
        <f>("2000. ")</f>
        <v xml:space="preserve">2000. </v>
      </c>
      <c r="AT573" t="str">
        <f t="shared" si="223"/>
        <v>catc</v>
      </c>
    </row>
    <row r="574" spans="1:46" x14ac:dyDescent="0.25">
      <c r="A574">
        <v>563</v>
      </c>
      <c r="B574" t="str">
        <f>("289400")</f>
        <v>289400</v>
      </c>
      <c r="C574" t="str">
        <f>("W00002599")</f>
        <v>W00002599</v>
      </c>
      <c r="D574" t="str">
        <f>("Essential C++ / ")</f>
        <v xml:space="preserve">Essential C++ / </v>
      </c>
      <c r="E574" t="str">
        <f>("Lippman, Stanley B. ")</f>
        <v xml:space="preserve">Lippman, Stanley B. </v>
      </c>
      <c r="F574" t="str">
        <f>("Addison-Wesley, ")</f>
        <v xml:space="preserve">Addison-Wesley, </v>
      </c>
      <c r="H574" t="str">
        <f t="shared" si="225"/>
        <v>圖書 book</v>
      </c>
      <c r="I574" t="str">
        <f>("QA76.73.C153 L766 2000")</f>
        <v>QA76.73.C153 L766 2000</v>
      </c>
      <c r="J574" t="str">
        <f>("0201485184")</f>
        <v>0201485184</v>
      </c>
      <c r="K574" t="str">
        <f>("952")</f>
        <v>952</v>
      </c>
      <c r="L574" t="str">
        <f t="shared" si="224"/>
        <v>2001/10/10 00:00:00</v>
      </c>
      <c r="M574" t="str">
        <f t="shared" si="235"/>
        <v>2018/08/11 13:34:32</v>
      </c>
      <c r="N574" t="str">
        <f>("2000")</f>
        <v>2000</v>
      </c>
      <c r="O574" t="str">
        <f t="shared" si="226"/>
        <v>4F西文書庫 4F Western Language Books</v>
      </c>
      <c r="P574" t="s">
        <v>64</v>
      </c>
      <c r="W574" t="str">
        <f t="shared" si="234"/>
        <v>美國國會圖書分類法</v>
      </c>
      <c r="Y574" t="str">
        <f>("QA76.73.C153")</f>
        <v>QA76.73.C153</v>
      </c>
      <c r="Z574" t="str">
        <f t="shared" si="236"/>
        <v>2018/08/11 13:34:32</v>
      </c>
      <c r="AA574" t="str">
        <f t="shared" si="221"/>
        <v>catc</v>
      </c>
      <c r="AC574" t="str">
        <f>("L766")</f>
        <v>L766</v>
      </c>
      <c r="AE574" t="str">
        <f t="shared" si="227"/>
        <v>c.1</v>
      </c>
      <c r="AF574" t="str">
        <f t="shared" si="228"/>
        <v>1.可借圖書</v>
      </c>
      <c r="AG574" t="str">
        <f t="shared" si="229"/>
        <v>在架</v>
      </c>
      <c r="AI574" t="s">
        <v>65</v>
      </c>
      <c r="AK574" t="str">
        <f t="shared" si="222"/>
        <v>一般(Normal)</v>
      </c>
      <c r="AO574" t="s">
        <v>65</v>
      </c>
      <c r="AS574" t="str">
        <f>("2000. ")</f>
        <v xml:space="preserve">2000. </v>
      </c>
      <c r="AT574" t="str">
        <f t="shared" si="223"/>
        <v>catc</v>
      </c>
    </row>
    <row r="575" spans="1:46" x14ac:dyDescent="0.25">
      <c r="A575">
        <v>564</v>
      </c>
      <c r="B575" t="str">
        <f>("289409")</f>
        <v>289409</v>
      </c>
      <c r="C575" t="str">
        <f>("W00002600")</f>
        <v>W00002600</v>
      </c>
      <c r="D575" t="str">
        <f>("Debugging Java : troubleshooting for programmers / ")</f>
        <v xml:space="preserve">Debugging Java : troubleshooting for programmers / </v>
      </c>
      <c r="E575" t="str">
        <f>("Mitchell, Will David. ")</f>
        <v xml:space="preserve">Mitchell, Will David. </v>
      </c>
      <c r="F575" t="str">
        <f>("Osborne, ")</f>
        <v xml:space="preserve">Osborne, </v>
      </c>
      <c r="H575" t="str">
        <f t="shared" si="225"/>
        <v>圖書 book</v>
      </c>
      <c r="I575" t="str">
        <f>("QA76.73.J38 M681 2000")</f>
        <v>QA76.73.J38 M681 2000</v>
      </c>
      <c r="J575" t="str">
        <f>("0072125624")</f>
        <v>0072125624</v>
      </c>
      <c r="K575" t="str">
        <f>("1120")</f>
        <v>1120</v>
      </c>
      <c r="L575" t="str">
        <f t="shared" si="224"/>
        <v>2001/10/10 00:00:00</v>
      </c>
      <c r="M575" t="str">
        <f t="shared" si="235"/>
        <v>2018/08/11 13:34:32</v>
      </c>
      <c r="N575" t="str">
        <f>("2000")</f>
        <v>2000</v>
      </c>
      <c r="O575" t="str">
        <f t="shared" si="226"/>
        <v>4F西文書庫 4F Western Language Books</v>
      </c>
      <c r="P575" t="s">
        <v>64</v>
      </c>
      <c r="W575" t="str">
        <f t="shared" si="234"/>
        <v>美國國會圖書分類法</v>
      </c>
      <c r="Y575" t="str">
        <f>("QA76.73.J38")</f>
        <v>QA76.73.J38</v>
      </c>
      <c r="Z575" t="str">
        <f t="shared" si="236"/>
        <v>2018/08/11 13:34:32</v>
      </c>
      <c r="AA575" t="str">
        <f t="shared" si="221"/>
        <v>catc</v>
      </c>
      <c r="AC575" t="str">
        <f>("M681")</f>
        <v>M681</v>
      </c>
      <c r="AE575" t="str">
        <f t="shared" si="227"/>
        <v>c.1</v>
      </c>
      <c r="AF575" t="str">
        <f t="shared" si="228"/>
        <v>1.可借圖書</v>
      </c>
      <c r="AG575" t="str">
        <f t="shared" si="229"/>
        <v>在架</v>
      </c>
      <c r="AI575" t="s">
        <v>65</v>
      </c>
      <c r="AK575" t="str">
        <f t="shared" si="222"/>
        <v>一般(Normal)</v>
      </c>
      <c r="AO575" t="s">
        <v>65</v>
      </c>
      <c r="AS575" t="str">
        <f>("c2000. ")</f>
        <v xml:space="preserve">c2000. </v>
      </c>
      <c r="AT575" t="str">
        <f t="shared" si="223"/>
        <v>catc</v>
      </c>
    </row>
    <row r="576" spans="1:46" x14ac:dyDescent="0.25">
      <c r="A576">
        <v>565</v>
      </c>
      <c r="B576" t="str">
        <f>("289410")</f>
        <v>289410</v>
      </c>
      <c r="C576" t="str">
        <f>("W00002601")</f>
        <v>W00002601</v>
      </c>
      <c r="D576" t="str">
        <f>("Enterprise Java developer's guide / ")</f>
        <v xml:space="preserve">Enterprise Java developer's guide / </v>
      </c>
      <c r="E576" t="str">
        <f>("Narayanan, S. ")</f>
        <v xml:space="preserve">Narayanan, S. </v>
      </c>
      <c r="F576" t="str">
        <f>("McGraw-Hill, ")</f>
        <v xml:space="preserve">McGraw-Hill, </v>
      </c>
      <c r="H576" t="str">
        <f t="shared" si="225"/>
        <v>圖書 book</v>
      </c>
      <c r="I576" t="str">
        <f>("QA76.73.J73 N218 1999")</f>
        <v>QA76.73.J73 N218 1999</v>
      </c>
      <c r="J576" t="str">
        <f>("0071346732")</f>
        <v>0071346732</v>
      </c>
      <c r="K576" t="str">
        <f>("1400")</f>
        <v>1400</v>
      </c>
      <c r="L576" t="str">
        <f t="shared" si="224"/>
        <v>2001/10/10 00:00:00</v>
      </c>
      <c r="M576" t="str">
        <f t="shared" si="235"/>
        <v>2018/08/11 13:34:32</v>
      </c>
      <c r="N576" t="str">
        <f>("1999")</f>
        <v>1999</v>
      </c>
      <c r="O576" t="str">
        <f t="shared" si="226"/>
        <v>4F西文書庫 4F Western Language Books</v>
      </c>
      <c r="P576" t="s">
        <v>64</v>
      </c>
      <c r="W576" t="str">
        <f t="shared" si="234"/>
        <v>美國國會圖書分類法</v>
      </c>
      <c r="Y576" t="str">
        <f>("QA76.73.J73")</f>
        <v>QA76.73.J73</v>
      </c>
      <c r="Z576" t="str">
        <f t="shared" si="236"/>
        <v>2018/08/11 13:34:32</v>
      </c>
      <c r="AA576" t="str">
        <f t="shared" si="221"/>
        <v>catc</v>
      </c>
      <c r="AC576" t="str">
        <f>("N218")</f>
        <v>N218</v>
      </c>
      <c r="AE576" t="str">
        <f t="shared" si="227"/>
        <v>c.1</v>
      </c>
      <c r="AF576" t="str">
        <f t="shared" si="228"/>
        <v>1.可借圖書</v>
      </c>
      <c r="AG576" t="str">
        <f t="shared" si="229"/>
        <v>在架</v>
      </c>
      <c r="AI576" t="s">
        <v>65</v>
      </c>
      <c r="AK576" t="str">
        <f t="shared" si="222"/>
        <v>一般(Normal)</v>
      </c>
      <c r="AO576" t="s">
        <v>65</v>
      </c>
      <c r="AS576" t="str">
        <f>("c1999. ")</f>
        <v xml:space="preserve">c1999. </v>
      </c>
      <c r="AT576" t="str">
        <f t="shared" si="223"/>
        <v>catc</v>
      </c>
    </row>
    <row r="577" spans="1:46" x14ac:dyDescent="0.25">
      <c r="A577">
        <v>566</v>
      </c>
      <c r="B577" t="str">
        <f>("289411")</f>
        <v>289411</v>
      </c>
      <c r="C577" t="str">
        <f>("W00002602")</f>
        <v>W00002602</v>
      </c>
      <c r="D577" t="str">
        <f>("Adobe GoLive 4 bible / ")</f>
        <v xml:space="preserve">Adobe GoLive 4 bible / </v>
      </c>
      <c r="E577" t="str">
        <f>("Shadovitz, Deborah. ")</f>
        <v xml:space="preserve">Shadovitz, Deborah. </v>
      </c>
      <c r="F577" t="str">
        <f>("IDG Books Worldwide, ")</f>
        <v xml:space="preserve">IDG Books Worldwide, </v>
      </c>
      <c r="H577" t="str">
        <f t="shared" si="225"/>
        <v>圖書 book</v>
      </c>
      <c r="I577" t="str">
        <f>("TK5105.8885.A34 S524 2001")</f>
        <v>TK5105.8885.A34 S524 2001</v>
      </c>
      <c r="J577" t="str">
        <f>("0764533479")</f>
        <v>0764533479</v>
      </c>
      <c r="K577" t="str">
        <f>("1120")</f>
        <v>1120</v>
      </c>
      <c r="L577" t="str">
        <f t="shared" si="224"/>
        <v>2001/10/10 00:00:00</v>
      </c>
      <c r="M577" t="str">
        <f t="shared" si="235"/>
        <v>2018/08/11 13:34:32</v>
      </c>
      <c r="N577" t="str">
        <f>("2001")</f>
        <v>2001</v>
      </c>
      <c r="O577" t="str">
        <f t="shared" si="226"/>
        <v>4F西文書庫 4F Western Language Books</v>
      </c>
      <c r="P577" t="s">
        <v>64</v>
      </c>
      <c r="W577" t="str">
        <f t="shared" si="234"/>
        <v>美國國會圖書分類法</v>
      </c>
      <c r="Y577" t="str">
        <f>("TK5105.8885.A34")</f>
        <v>TK5105.8885.A34</v>
      </c>
      <c r="Z577" t="str">
        <f t="shared" si="236"/>
        <v>2018/08/11 13:34:32</v>
      </c>
      <c r="AA577" t="str">
        <f t="shared" si="221"/>
        <v>catc</v>
      </c>
      <c r="AC577" t="str">
        <f>("S524")</f>
        <v>S524</v>
      </c>
      <c r="AE577" t="str">
        <f t="shared" si="227"/>
        <v>c.1</v>
      </c>
      <c r="AF577" t="str">
        <f t="shared" si="228"/>
        <v>1.可借圖書</v>
      </c>
      <c r="AG577" t="str">
        <f t="shared" si="229"/>
        <v>在架</v>
      </c>
      <c r="AI577" t="s">
        <v>65</v>
      </c>
      <c r="AK577" t="str">
        <f t="shared" si="222"/>
        <v>一般(Normal)</v>
      </c>
      <c r="AO577" t="s">
        <v>65</v>
      </c>
      <c r="AS577" t="str">
        <f>("2001. ")</f>
        <v xml:space="preserve">2001. </v>
      </c>
      <c r="AT577" t="str">
        <f t="shared" si="223"/>
        <v>catc</v>
      </c>
    </row>
    <row r="578" spans="1:46" x14ac:dyDescent="0.25">
      <c r="A578">
        <v>567</v>
      </c>
      <c r="B578" t="str">
        <f>("289412")</f>
        <v>289412</v>
      </c>
      <c r="C578" t="str">
        <f>("W00002603")</f>
        <v>W00002603</v>
      </c>
      <c r="D578" t="str">
        <f>("Firebrands : building brand loyalty in the Internet age / ")</f>
        <v xml:space="preserve">Firebrands : building brand loyalty in the Internet age / </v>
      </c>
      <c r="E578" t="str">
        <f>("Moon, Michael. ")</f>
        <v xml:space="preserve">Moon, Michael. </v>
      </c>
      <c r="F578" t="str">
        <f>("Osborne/McGraw-Hill, ")</f>
        <v xml:space="preserve">Osborne/McGraw-Hill, </v>
      </c>
      <c r="H578" t="str">
        <f t="shared" si="225"/>
        <v>圖書 book</v>
      </c>
      <c r="I578" t="str">
        <f>("QA76.73 M818 2000")</f>
        <v>QA76.73 M818 2000</v>
      </c>
      <c r="J578" t="str">
        <f>("0072124490")</f>
        <v>0072124490</v>
      </c>
      <c r="K578" t="str">
        <f>("840")</f>
        <v>840</v>
      </c>
      <c r="L578" t="str">
        <f t="shared" si="224"/>
        <v>2001/10/10 00:00:00</v>
      </c>
      <c r="M578" t="str">
        <f t="shared" si="235"/>
        <v>2018/08/11 13:34:32</v>
      </c>
      <c r="N578" t="str">
        <f>("2000")</f>
        <v>2000</v>
      </c>
      <c r="O578" t="str">
        <f t="shared" si="226"/>
        <v>4F西文書庫 4F Western Language Books</v>
      </c>
      <c r="P578" t="s">
        <v>64</v>
      </c>
      <c r="W578" t="str">
        <f t="shared" si="234"/>
        <v>美國國會圖書分類法</v>
      </c>
      <c r="Y578" t="str">
        <f>("QA76.73")</f>
        <v>QA76.73</v>
      </c>
      <c r="Z578" t="str">
        <f t="shared" si="236"/>
        <v>2018/08/11 13:34:32</v>
      </c>
      <c r="AA578" t="str">
        <f t="shared" si="221"/>
        <v>catc</v>
      </c>
      <c r="AC578" t="str">
        <f>("M818")</f>
        <v>M818</v>
      </c>
      <c r="AE578" t="str">
        <f t="shared" si="227"/>
        <v>c.1</v>
      </c>
      <c r="AF578" t="str">
        <f t="shared" si="228"/>
        <v>1.可借圖書</v>
      </c>
      <c r="AG578" t="str">
        <f t="shared" si="229"/>
        <v>在架</v>
      </c>
      <c r="AI578" t="s">
        <v>65</v>
      </c>
      <c r="AK578" t="str">
        <f t="shared" si="222"/>
        <v>一般(Normal)</v>
      </c>
      <c r="AO578" t="s">
        <v>65</v>
      </c>
      <c r="AS578" t="str">
        <f>("2000. ")</f>
        <v xml:space="preserve">2000. </v>
      </c>
      <c r="AT578" t="str">
        <f t="shared" si="223"/>
        <v>catc</v>
      </c>
    </row>
    <row r="579" spans="1:46" x14ac:dyDescent="0.25">
      <c r="A579">
        <v>568</v>
      </c>
      <c r="B579" t="str">
        <f>("289413")</f>
        <v>289413</v>
      </c>
      <c r="C579" t="str">
        <f>("W00002604")</f>
        <v>W00002604</v>
      </c>
      <c r="D579" t="str">
        <f>("E-business and IS solutions : an architectural approach to business problems and opportunities / ")</f>
        <v xml:space="preserve">E-business and IS solutions : an architectural approach to business problems and opportunities / </v>
      </c>
      <c r="E579" t="str">
        <f>("Buffam, William J., 1948- ")</f>
        <v xml:space="preserve">Buffam, William J., 1948- </v>
      </c>
      <c r="F579" t="str">
        <f>("Addison-Wesley, ")</f>
        <v xml:space="preserve">Addison-Wesley, </v>
      </c>
      <c r="H579" t="str">
        <f t="shared" si="225"/>
        <v>圖書 book</v>
      </c>
      <c r="I579" t="str">
        <f>("HF5548.32 B929 2000")</f>
        <v>HF5548.32 B929 2000</v>
      </c>
      <c r="J579" t="str">
        <f>("0201708477")</f>
        <v>0201708477</v>
      </c>
      <c r="K579" t="str">
        <f>("984")</f>
        <v>984</v>
      </c>
      <c r="L579" t="str">
        <f t="shared" si="224"/>
        <v>2001/10/10 00:00:00</v>
      </c>
      <c r="M579" t="str">
        <f t="shared" si="235"/>
        <v>2018/08/11 13:34:32</v>
      </c>
      <c r="N579" t="str">
        <f>("2000")</f>
        <v>2000</v>
      </c>
      <c r="O579" t="str">
        <f t="shared" si="226"/>
        <v>4F西文書庫 4F Western Language Books</v>
      </c>
      <c r="P579" t="s">
        <v>64</v>
      </c>
      <c r="W579" t="str">
        <f t="shared" si="234"/>
        <v>美國國會圖書分類法</v>
      </c>
      <c r="Y579" t="str">
        <f>("HF5548.32")</f>
        <v>HF5548.32</v>
      </c>
      <c r="Z579" t="str">
        <f t="shared" si="236"/>
        <v>2018/08/11 13:34:32</v>
      </c>
      <c r="AA579" t="str">
        <f t="shared" si="221"/>
        <v>catc</v>
      </c>
      <c r="AC579" t="str">
        <f>("B929")</f>
        <v>B929</v>
      </c>
      <c r="AE579" t="str">
        <f t="shared" si="227"/>
        <v>c.1</v>
      </c>
      <c r="AF579" t="str">
        <f t="shared" si="228"/>
        <v>1.可借圖書</v>
      </c>
      <c r="AG579" t="str">
        <f t="shared" si="229"/>
        <v>在架</v>
      </c>
      <c r="AI579" t="s">
        <v>65</v>
      </c>
      <c r="AK579" t="str">
        <f t="shared" si="222"/>
        <v>一般(Normal)</v>
      </c>
      <c r="AO579" t="s">
        <v>65</v>
      </c>
      <c r="AS579" t="str">
        <f>("c2000. ")</f>
        <v xml:space="preserve">c2000. </v>
      </c>
      <c r="AT579" t="str">
        <f t="shared" si="223"/>
        <v>catc</v>
      </c>
    </row>
    <row r="580" spans="1:46" x14ac:dyDescent="0.25">
      <c r="A580">
        <v>569</v>
      </c>
      <c r="B580" t="str">
        <f>("289414")</f>
        <v>289414</v>
      </c>
      <c r="C580" t="str">
        <f>("W00002605")</f>
        <v>W00002605</v>
      </c>
      <c r="D580" t="str">
        <f>("Maximizing Outlook 2000 /")</f>
        <v>Maximizing Outlook 2000 /</v>
      </c>
      <c r="E580" t="str">
        <f>("Simon, Barry ")</f>
        <v xml:space="preserve">Simon, Barry </v>
      </c>
      <c r="F580" t="str">
        <f>("Osborne/McGraw-Hill,")</f>
        <v>Osborne/McGraw-Hill,</v>
      </c>
      <c r="H580" t="str">
        <f t="shared" si="225"/>
        <v>圖書 book</v>
      </c>
      <c r="I580" t="str">
        <f>("HD69.T54 S594-2 2000 c.2")</f>
        <v>HD69.T54 S594-2 2000 c.2</v>
      </c>
      <c r="J580" t="str">
        <f>("0072121564")</f>
        <v>0072121564</v>
      </c>
      <c r="K580" t="str">
        <f>("1120")</f>
        <v>1120</v>
      </c>
      <c r="L580" t="str">
        <f t="shared" si="224"/>
        <v>2001/10/10 00:00:00</v>
      </c>
      <c r="M580" t="str">
        <f t="shared" si="235"/>
        <v>2018/08/11 13:34:32</v>
      </c>
      <c r="N580" t="str">
        <f>("2000")</f>
        <v>2000</v>
      </c>
      <c r="O580" t="str">
        <f>("罕用書庫1-洽櫃台填單 Upon-Request Collection1 fil")</f>
        <v>罕用書庫1-洽櫃台填單 Upon-Request Collection1 fil</v>
      </c>
      <c r="P580" t="s">
        <v>64</v>
      </c>
      <c r="S580" t="str">
        <f>("xxiv, 696 p. :")</f>
        <v>xxiv, 696 p. :</v>
      </c>
      <c r="T580" t="str">
        <f>("ill. ;")</f>
        <v>ill. ;</v>
      </c>
      <c r="U580" t="str">
        <f>("24 cm ")</f>
        <v xml:space="preserve">24 cm </v>
      </c>
      <c r="W580" t="str">
        <f t="shared" si="234"/>
        <v>美國國會圖書分類法</v>
      </c>
      <c r="Y580" t="str">
        <f>("HD69.T54")</f>
        <v>HD69.T54</v>
      </c>
      <c r="Z580" t="str">
        <f t="shared" si="236"/>
        <v>2018/08/11 13:34:32</v>
      </c>
      <c r="AA580" t="str">
        <f t="shared" si="221"/>
        <v>catc</v>
      </c>
      <c r="AC580" t="str">
        <f>("S594-2")</f>
        <v>S594-2</v>
      </c>
      <c r="AE580" t="str">
        <f>("c.2")</f>
        <v>c.2</v>
      </c>
      <c r="AF580" t="str">
        <f>("不流通")</f>
        <v>不流通</v>
      </c>
      <c r="AG580" t="str">
        <f>("報銷中")</f>
        <v>報銷中</v>
      </c>
      <c r="AI580" t="s">
        <v>65</v>
      </c>
      <c r="AK580" t="str">
        <f t="shared" si="222"/>
        <v>一般(Normal)</v>
      </c>
      <c r="AO580" t="s">
        <v>65</v>
      </c>
      <c r="AS580" t="str">
        <f>("c2000 ")</f>
        <v xml:space="preserve">c2000 </v>
      </c>
      <c r="AT580" t="str">
        <f t="shared" si="223"/>
        <v>catc</v>
      </c>
    </row>
    <row r="581" spans="1:46" x14ac:dyDescent="0.25">
      <c r="A581">
        <v>570</v>
      </c>
      <c r="B581" t="str">
        <f>("289421")</f>
        <v>289421</v>
      </c>
      <c r="C581" t="str">
        <f>("W00002606")</f>
        <v>W00002606</v>
      </c>
      <c r="D581" t="str">
        <f>("Internet routing architectures / ")</f>
        <v xml:space="preserve">Internet routing architectures / </v>
      </c>
      <c r="E581" t="str">
        <f>("Halabi, Bassam. ")</f>
        <v xml:space="preserve">Halabi, Bassam. </v>
      </c>
      <c r="F581" t="str">
        <f>("Cisco Press, ")</f>
        <v xml:space="preserve">Cisco Press, </v>
      </c>
      <c r="G581" t="str">
        <f>("2nd ed. ")</f>
        <v xml:space="preserve">2nd ed. </v>
      </c>
      <c r="H581" t="str">
        <f t="shared" si="225"/>
        <v>圖書 book</v>
      </c>
      <c r="I581" t="str">
        <f>("TK5105.543 H157 2000")</f>
        <v>TK5105.543 H157 2000</v>
      </c>
      <c r="J581" t="str">
        <f>("157870233X")</f>
        <v>157870233X</v>
      </c>
      <c r="K581" t="str">
        <f>("1498")</f>
        <v>1498</v>
      </c>
      <c r="L581" t="str">
        <f t="shared" si="224"/>
        <v>2001/10/10 00:00:00</v>
      </c>
      <c r="M581" t="str">
        <f t="shared" ref="M581:M590" si="237">("2018/08/11 13:34:33")</f>
        <v>2018/08/11 13:34:33</v>
      </c>
      <c r="N581" t="str">
        <f>("2000")</f>
        <v>2000</v>
      </c>
      <c r="O581" t="str">
        <f t="shared" ref="O581:O607" si="238">("4F西文書庫 4F Western Language Books")</f>
        <v>4F西文書庫 4F Western Language Books</v>
      </c>
      <c r="P581" t="s">
        <v>64</v>
      </c>
      <c r="W581" t="str">
        <f t="shared" si="234"/>
        <v>美國國會圖書分類法</v>
      </c>
      <c r="Y581" t="str">
        <f>("TK5105.543")</f>
        <v>TK5105.543</v>
      </c>
      <c r="Z581" t="str">
        <f t="shared" ref="Z581:Z590" si="239">("2018/08/11 13:34:33")</f>
        <v>2018/08/11 13:34:33</v>
      </c>
      <c r="AA581" t="str">
        <f t="shared" si="221"/>
        <v>catc</v>
      </c>
      <c r="AC581" t="str">
        <f>("H157")</f>
        <v>H157</v>
      </c>
      <c r="AE581" t="str">
        <f t="shared" ref="AE581:AE598" si="240">("c.1")</f>
        <v>c.1</v>
      </c>
      <c r="AF581" t="str">
        <f t="shared" ref="AF581:AF607" si="241">("1.可借圖書")</f>
        <v>1.可借圖書</v>
      </c>
      <c r="AG581" t="str">
        <f t="shared" ref="AG581:AG607" si="242">("在架")</f>
        <v>在架</v>
      </c>
      <c r="AI581" t="s">
        <v>65</v>
      </c>
      <c r="AK581" t="str">
        <f t="shared" si="222"/>
        <v>一般(Normal)</v>
      </c>
      <c r="AO581" t="s">
        <v>65</v>
      </c>
      <c r="AS581" t="str">
        <f>("c2000. ")</f>
        <v xml:space="preserve">c2000. </v>
      </c>
      <c r="AT581" t="str">
        <f t="shared" si="223"/>
        <v>catc</v>
      </c>
    </row>
    <row r="582" spans="1:46" x14ac:dyDescent="0.25">
      <c r="A582">
        <v>571</v>
      </c>
      <c r="B582" t="str">
        <f>("289422")</f>
        <v>289422</v>
      </c>
      <c r="C582" t="str">
        <f>("W00002607")</f>
        <v>W00002607</v>
      </c>
      <c r="D582" t="str">
        <f>("Sams teach yourself HTML and XHTML in 21 days, / ")</f>
        <v xml:space="preserve">Sams teach yourself HTML and XHTML in 21 days, / </v>
      </c>
      <c r="E582" t="str">
        <f>("Lemay, Laura. ")</f>
        <v xml:space="preserve">Lemay, Laura. </v>
      </c>
      <c r="F582" t="str">
        <f>("Macmillan USA, ")</f>
        <v xml:space="preserve">Macmillan USA, </v>
      </c>
      <c r="H582" t="str">
        <f t="shared" si="225"/>
        <v>圖書 book</v>
      </c>
      <c r="I582" t="str">
        <f>("TK5105.875.157 L545 2001")</f>
        <v>TK5105.875.157 L545 2001</v>
      </c>
      <c r="J582" t="str">
        <f>("0672320770")</f>
        <v>0672320770</v>
      </c>
      <c r="K582" t="str">
        <f>("984")</f>
        <v>984</v>
      </c>
      <c r="L582" t="str">
        <f t="shared" si="224"/>
        <v>2001/10/10 00:00:00</v>
      </c>
      <c r="M582" t="str">
        <f t="shared" si="237"/>
        <v>2018/08/11 13:34:33</v>
      </c>
      <c r="N582" t="str">
        <f>("2001")</f>
        <v>2001</v>
      </c>
      <c r="O582" t="str">
        <f t="shared" si="238"/>
        <v>4F西文書庫 4F Western Language Books</v>
      </c>
      <c r="P582" t="s">
        <v>64</v>
      </c>
      <c r="W582" t="str">
        <f t="shared" si="234"/>
        <v>美國國會圖書分類法</v>
      </c>
      <c r="Y582" t="str">
        <f>("TK5105.875.157")</f>
        <v>TK5105.875.157</v>
      </c>
      <c r="Z582" t="str">
        <f t="shared" si="239"/>
        <v>2018/08/11 13:34:33</v>
      </c>
      <c r="AA582" t="str">
        <f t="shared" si="221"/>
        <v>catc</v>
      </c>
      <c r="AC582" t="str">
        <f>("L545")</f>
        <v>L545</v>
      </c>
      <c r="AE582" t="str">
        <f t="shared" si="240"/>
        <v>c.1</v>
      </c>
      <c r="AF582" t="str">
        <f t="shared" si="241"/>
        <v>1.可借圖書</v>
      </c>
      <c r="AG582" t="str">
        <f t="shared" si="242"/>
        <v>在架</v>
      </c>
      <c r="AI582" t="s">
        <v>65</v>
      </c>
      <c r="AK582" t="str">
        <f t="shared" si="222"/>
        <v>一般(Normal)</v>
      </c>
      <c r="AO582" t="s">
        <v>65</v>
      </c>
      <c r="AS582" t="str">
        <f>("2001. ")</f>
        <v xml:space="preserve">2001. </v>
      </c>
      <c r="AT582" t="str">
        <f t="shared" si="223"/>
        <v>catc</v>
      </c>
    </row>
    <row r="583" spans="1:46" x14ac:dyDescent="0.25">
      <c r="A583">
        <v>572</v>
      </c>
      <c r="B583" t="str">
        <f>("289423")</f>
        <v>289423</v>
      </c>
      <c r="C583" t="str">
        <f>("W00002608")</f>
        <v>W00002608</v>
      </c>
      <c r="D583" t="str">
        <f>("Sams teach yourself Microsoft Windows DNA programming in 21 days / ")</f>
        <v xml:space="preserve">Sams teach yourself Microsoft Windows DNA programming in 21 days / </v>
      </c>
      <c r="E583" t="str">
        <f>("Rockwell, Michael. ")</f>
        <v xml:space="preserve">Rockwell, Michael. </v>
      </c>
      <c r="F583" t="str">
        <f>("SAMS, ")</f>
        <v xml:space="preserve">SAMS, </v>
      </c>
      <c r="H583" t="str">
        <f t="shared" si="225"/>
        <v>圖書 book</v>
      </c>
      <c r="I583" t="str">
        <f>("QA76.9.D5 M619 2000")</f>
        <v>QA76.9.D5 M619 2000</v>
      </c>
      <c r="J583" t="str">
        <f>("0672318970")</f>
        <v>0672318970</v>
      </c>
      <c r="K583" t="str">
        <f>("1120")</f>
        <v>1120</v>
      </c>
      <c r="L583" t="str">
        <f t="shared" si="224"/>
        <v>2001/10/10 00:00:00</v>
      </c>
      <c r="M583" t="str">
        <f t="shared" si="237"/>
        <v>2018/08/11 13:34:33</v>
      </c>
      <c r="N583" t="str">
        <f>("2000")</f>
        <v>2000</v>
      </c>
      <c r="O583" t="str">
        <f t="shared" si="238"/>
        <v>4F西文書庫 4F Western Language Books</v>
      </c>
      <c r="P583" t="s">
        <v>64</v>
      </c>
      <c r="W583" t="str">
        <f t="shared" si="234"/>
        <v>美國國會圖書分類法</v>
      </c>
      <c r="Y583" t="str">
        <f>("QA76.9.D5")</f>
        <v>QA76.9.D5</v>
      </c>
      <c r="Z583" t="str">
        <f t="shared" si="239"/>
        <v>2018/08/11 13:34:33</v>
      </c>
      <c r="AA583" t="str">
        <f t="shared" si="221"/>
        <v>catc</v>
      </c>
      <c r="AC583" t="str">
        <f>("M619")</f>
        <v>M619</v>
      </c>
      <c r="AE583" t="str">
        <f t="shared" si="240"/>
        <v>c.1</v>
      </c>
      <c r="AF583" t="str">
        <f t="shared" si="241"/>
        <v>1.可借圖書</v>
      </c>
      <c r="AG583" t="str">
        <f t="shared" si="242"/>
        <v>在架</v>
      </c>
      <c r="AI583" t="s">
        <v>65</v>
      </c>
      <c r="AK583" t="str">
        <f t="shared" si="222"/>
        <v>一般(Normal)</v>
      </c>
      <c r="AO583" t="s">
        <v>65</v>
      </c>
      <c r="AS583" t="str">
        <f>("c2000. ")</f>
        <v xml:space="preserve">c2000. </v>
      </c>
      <c r="AT583" t="str">
        <f t="shared" si="223"/>
        <v>catc</v>
      </c>
    </row>
    <row r="584" spans="1:46" x14ac:dyDescent="0.25">
      <c r="A584">
        <v>573</v>
      </c>
      <c r="B584" t="str">
        <f>("289424")</f>
        <v>289424</v>
      </c>
      <c r="C584" t="str">
        <f>("W00002609")</f>
        <v>W00002609</v>
      </c>
      <c r="D584" t="str">
        <f>("Programming industrial strength windows: shrink-wrap your app!/ ")</f>
        <v xml:space="preserve">Programming industrial strength windows: shrink-wrap your app!/ </v>
      </c>
      <c r="E584" t="str">
        <f>("Hesselberg, Petter")</f>
        <v>Hesselberg, Petter</v>
      </c>
      <c r="F584" t="str">
        <f>("R&amp;D Books, ")</f>
        <v xml:space="preserve">R&amp;D Books, </v>
      </c>
      <c r="H584" t="str">
        <f t="shared" si="225"/>
        <v>圖書 book</v>
      </c>
      <c r="I584" t="str">
        <f>("QA76.73.C153 H587 2000")</f>
        <v>QA76.73.C153 H587 2000</v>
      </c>
      <c r="J584" t="str">
        <f>("087930605X")</f>
        <v>087930605X</v>
      </c>
      <c r="K584" t="str">
        <f>("1264")</f>
        <v>1264</v>
      </c>
      <c r="L584" t="str">
        <f t="shared" si="224"/>
        <v>2001/10/10 00:00:00</v>
      </c>
      <c r="M584" t="str">
        <f t="shared" si="237"/>
        <v>2018/08/11 13:34:33</v>
      </c>
      <c r="N584" t="str">
        <f>("2000")</f>
        <v>2000</v>
      </c>
      <c r="O584" t="str">
        <f t="shared" si="238"/>
        <v>4F西文書庫 4F Western Language Books</v>
      </c>
      <c r="P584" t="s">
        <v>64</v>
      </c>
      <c r="W584" t="str">
        <f t="shared" si="234"/>
        <v>美國國會圖書分類法</v>
      </c>
      <c r="Y584" t="str">
        <f>("QA76.73.C153")</f>
        <v>QA76.73.C153</v>
      </c>
      <c r="Z584" t="str">
        <f t="shared" si="239"/>
        <v>2018/08/11 13:34:33</v>
      </c>
      <c r="AA584" t="str">
        <f t="shared" si="221"/>
        <v>catc</v>
      </c>
      <c r="AC584" t="str">
        <f>("H587")</f>
        <v>H587</v>
      </c>
      <c r="AE584" t="str">
        <f t="shared" si="240"/>
        <v>c.1</v>
      </c>
      <c r="AF584" t="str">
        <f t="shared" si="241"/>
        <v>1.可借圖書</v>
      </c>
      <c r="AG584" t="str">
        <f t="shared" si="242"/>
        <v>在架</v>
      </c>
      <c r="AI584" t="s">
        <v>65</v>
      </c>
      <c r="AK584" t="str">
        <f t="shared" si="222"/>
        <v>一般(Normal)</v>
      </c>
      <c r="AO584" t="s">
        <v>65</v>
      </c>
      <c r="AS584" t="str">
        <f>("c2000.")</f>
        <v>c2000.</v>
      </c>
      <c r="AT584" t="str">
        <f t="shared" si="223"/>
        <v>catc</v>
      </c>
    </row>
    <row r="585" spans="1:46" x14ac:dyDescent="0.25">
      <c r="A585">
        <v>574</v>
      </c>
      <c r="B585" t="str">
        <f>("289425")</f>
        <v>289425</v>
      </c>
      <c r="C585" t="str">
        <f>("W00002610")</f>
        <v>W00002610</v>
      </c>
      <c r="D585" t="str">
        <f>("Mastering windows 2000 programming with Visual C++ / ")</f>
        <v xml:space="preserve">Mastering windows 2000 programming with Visual C++ / </v>
      </c>
      <c r="E585" t="str">
        <f>("Ezzell, Ben. ")</f>
        <v xml:space="preserve">Ezzell, Ben. </v>
      </c>
      <c r="F585" t="str">
        <f>("Sybex, ")</f>
        <v xml:space="preserve">Sybex, </v>
      </c>
      <c r="H585" t="str">
        <f t="shared" si="225"/>
        <v>圖書 book</v>
      </c>
      <c r="I585" t="str">
        <f>("QA76.76.O63 E99 2000")</f>
        <v>QA76.76.O63 E99 2000</v>
      </c>
      <c r="J585" t="str">
        <f>("0782126421")</f>
        <v>0782126421</v>
      </c>
      <c r="K585" t="str">
        <f>("1400")</f>
        <v>1400</v>
      </c>
      <c r="L585" t="str">
        <f t="shared" si="224"/>
        <v>2001/10/10 00:00:00</v>
      </c>
      <c r="M585" t="str">
        <f t="shared" si="237"/>
        <v>2018/08/11 13:34:33</v>
      </c>
      <c r="N585" t="str">
        <f>("2000")</f>
        <v>2000</v>
      </c>
      <c r="O585" t="str">
        <f t="shared" si="238"/>
        <v>4F西文書庫 4F Western Language Books</v>
      </c>
      <c r="P585" t="s">
        <v>64</v>
      </c>
      <c r="W585" t="str">
        <f t="shared" si="234"/>
        <v>美國國會圖書分類法</v>
      </c>
      <c r="Y585" t="str">
        <f>("QA76.76.O63")</f>
        <v>QA76.76.O63</v>
      </c>
      <c r="Z585" t="str">
        <f t="shared" si="239"/>
        <v>2018/08/11 13:34:33</v>
      </c>
      <c r="AA585" t="str">
        <f t="shared" si="221"/>
        <v>catc</v>
      </c>
      <c r="AC585" t="str">
        <f>("E99")</f>
        <v>E99</v>
      </c>
      <c r="AE585" t="str">
        <f t="shared" si="240"/>
        <v>c.1</v>
      </c>
      <c r="AF585" t="str">
        <f t="shared" si="241"/>
        <v>1.可借圖書</v>
      </c>
      <c r="AG585" t="str">
        <f t="shared" si="242"/>
        <v>在架</v>
      </c>
      <c r="AI585" t="s">
        <v>65</v>
      </c>
      <c r="AK585" t="str">
        <f t="shared" si="222"/>
        <v>一般(Normal)</v>
      </c>
      <c r="AO585" t="s">
        <v>65</v>
      </c>
      <c r="AS585" t="str">
        <f>("2000. ")</f>
        <v xml:space="preserve">2000. </v>
      </c>
      <c r="AT585" t="str">
        <f t="shared" si="223"/>
        <v>catc</v>
      </c>
    </row>
    <row r="586" spans="1:46" x14ac:dyDescent="0.25">
      <c r="A586">
        <v>575</v>
      </c>
      <c r="B586" t="str">
        <f>("289426")</f>
        <v>289426</v>
      </c>
      <c r="C586" t="str">
        <f>("W00002611")</f>
        <v>W00002611</v>
      </c>
      <c r="D586" t="str">
        <f>("Accelerated Domino Web development and administration study guide")</f>
        <v>Accelerated Domino Web development and administration study guide</v>
      </c>
      <c r="E586" t="str">
        <f>("Oliver, Steve,1964- ")</f>
        <v xml:space="preserve">Oliver, Steve,1964- </v>
      </c>
      <c r="F586" t="str">
        <f>("McGraw-Hill,")</f>
        <v>McGraw-Hill,</v>
      </c>
      <c r="H586" t="str">
        <f t="shared" si="225"/>
        <v>圖書 book</v>
      </c>
      <c r="I586" t="str">
        <f>("QA76.3 O48 1999")</f>
        <v>QA76.3 O48 1999</v>
      </c>
      <c r="J586" t="str">
        <f>("0071345337")</f>
        <v>0071345337</v>
      </c>
      <c r="K586" t="str">
        <f>("840")</f>
        <v>840</v>
      </c>
      <c r="L586" t="str">
        <f t="shared" si="224"/>
        <v>2001/10/10 00:00:00</v>
      </c>
      <c r="M586" t="str">
        <f t="shared" si="237"/>
        <v>2018/08/11 13:34:33</v>
      </c>
      <c r="N586" t="str">
        <f>("1999")</f>
        <v>1999</v>
      </c>
      <c r="O586" t="str">
        <f t="shared" si="238"/>
        <v>4F西文書庫 4F Western Language Books</v>
      </c>
      <c r="P586" t="s">
        <v>64</v>
      </c>
      <c r="W586" t="str">
        <f t="shared" si="234"/>
        <v>美國國會圖書分類法</v>
      </c>
      <c r="Y586" t="str">
        <f>("QA76.3")</f>
        <v>QA76.3</v>
      </c>
      <c r="Z586" t="str">
        <f t="shared" si="239"/>
        <v>2018/08/11 13:34:33</v>
      </c>
      <c r="AA586" t="str">
        <f t="shared" si="221"/>
        <v>catc</v>
      </c>
      <c r="AC586" t="str">
        <f>("O48")</f>
        <v>O48</v>
      </c>
      <c r="AE586" t="str">
        <f t="shared" si="240"/>
        <v>c.1</v>
      </c>
      <c r="AF586" t="str">
        <f t="shared" si="241"/>
        <v>1.可借圖書</v>
      </c>
      <c r="AG586" t="str">
        <f t="shared" si="242"/>
        <v>在架</v>
      </c>
      <c r="AI586" t="s">
        <v>65</v>
      </c>
      <c r="AK586" t="str">
        <f t="shared" si="222"/>
        <v>一般(Normal)</v>
      </c>
      <c r="AO586" t="s">
        <v>65</v>
      </c>
      <c r="AS586" t="str">
        <f>("1999 ")</f>
        <v xml:space="preserve">1999 </v>
      </c>
      <c r="AT586" t="str">
        <f t="shared" si="223"/>
        <v>catc</v>
      </c>
    </row>
    <row r="587" spans="1:46" x14ac:dyDescent="0.25">
      <c r="A587">
        <v>576</v>
      </c>
      <c r="B587" t="str">
        <f>("289415")</f>
        <v>289415</v>
      </c>
      <c r="C587" t="str">
        <f>("W00002612")</f>
        <v>W00002612</v>
      </c>
      <c r="D587" t="str">
        <f>("MCDBA SQL Server 7.0 administration study guide : (Exam 70-28) / ")</f>
        <v xml:space="preserve">MCDBA SQL Server 7.0 administration study guide : (Exam 70-28) / </v>
      </c>
      <c r="E587" t="str">
        <f>("Syngress Media, Inc. ")</f>
        <v xml:space="preserve">Syngress Media, Inc. </v>
      </c>
      <c r="F587" t="str">
        <f>("Osborne McGraw-Hill, ")</f>
        <v xml:space="preserve">Osborne McGraw-Hill, </v>
      </c>
      <c r="H587" t="str">
        <f t="shared" si="225"/>
        <v>圖書 book</v>
      </c>
      <c r="I587" t="str">
        <f>("QA76.3 S993-2 1999")</f>
        <v>QA76.3 S993-2 1999</v>
      </c>
      <c r="J587" t="str">
        <f>("0072119047")</f>
        <v>0072119047</v>
      </c>
      <c r="K587" t="str">
        <f>("1400")</f>
        <v>1400</v>
      </c>
      <c r="L587" t="str">
        <f t="shared" si="224"/>
        <v>2001/10/10 00:00:00</v>
      </c>
      <c r="M587" t="str">
        <f t="shared" si="237"/>
        <v>2018/08/11 13:34:33</v>
      </c>
      <c r="N587" t="str">
        <f>("1999")</f>
        <v>1999</v>
      </c>
      <c r="O587" t="str">
        <f t="shared" si="238"/>
        <v>4F西文書庫 4F Western Language Books</v>
      </c>
      <c r="P587" t="s">
        <v>64</v>
      </c>
      <c r="W587" t="str">
        <f t="shared" si="234"/>
        <v>美國國會圖書分類法</v>
      </c>
      <c r="Y587" t="str">
        <f>("QA76.3")</f>
        <v>QA76.3</v>
      </c>
      <c r="Z587" t="str">
        <f t="shared" si="239"/>
        <v>2018/08/11 13:34:33</v>
      </c>
      <c r="AA587" t="str">
        <f t="shared" si="221"/>
        <v>catc</v>
      </c>
      <c r="AC587" t="str">
        <f>("S993-2")</f>
        <v>S993-2</v>
      </c>
      <c r="AE587" t="str">
        <f t="shared" si="240"/>
        <v>c.1</v>
      </c>
      <c r="AF587" t="str">
        <f t="shared" si="241"/>
        <v>1.可借圖書</v>
      </c>
      <c r="AG587" t="str">
        <f t="shared" si="242"/>
        <v>在架</v>
      </c>
      <c r="AI587" t="s">
        <v>65</v>
      </c>
      <c r="AK587" t="str">
        <f t="shared" si="222"/>
        <v>一般(Normal)</v>
      </c>
      <c r="AO587" t="s">
        <v>65</v>
      </c>
      <c r="AS587" t="str">
        <f>("c1999. ")</f>
        <v xml:space="preserve">c1999. </v>
      </c>
      <c r="AT587" t="str">
        <f t="shared" si="223"/>
        <v>catc</v>
      </c>
    </row>
    <row r="588" spans="1:46" x14ac:dyDescent="0.25">
      <c r="A588">
        <v>577</v>
      </c>
      <c r="B588" t="str">
        <f>("289416")</f>
        <v>289416</v>
      </c>
      <c r="C588" t="str">
        <f>("W00002613")</f>
        <v>W00002613</v>
      </c>
      <c r="D588" t="str">
        <f>("IP applications with ATM /")</f>
        <v>IP applications with ATM /</v>
      </c>
      <c r="E588" t="str">
        <f>("Amoss, John,1941-")</f>
        <v>Amoss, John,1941-</v>
      </c>
      <c r="F588" t="str">
        <f>("McGraw-Hill,")</f>
        <v>McGraw-Hill,</v>
      </c>
      <c r="H588" t="str">
        <f t="shared" si="225"/>
        <v>圖書 book</v>
      </c>
      <c r="I588" t="str">
        <f>("TK5105.35 A525 1998")</f>
        <v>TK5105.35 A525 1998</v>
      </c>
      <c r="J588" t="str">
        <f>("0070423121")</f>
        <v>0070423121</v>
      </c>
      <c r="K588" t="str">
        <f>("1498")</f>
        <v>1498</v>
      </c>
      <c r="L588" t="str">
        <f t="shared" si="224"/>
        <v>2001/10/10 00:00:00</v>
      </c>
      <c r="M588" t="str">
        <f t="shared" si="237"/>
        <v>2018/08/11 13:34:33</v>
      </c>
      <c r="N588" t="str">
        <f>("1998")</f>
        <v>1998</v>
      </c>
      <c r="O588" t="str">
        <f t="shared" si="238"/>
        <v>4F西文書庫 4F Western Language Books</v>
      </c>
      <c r="P588" t="s">
        <v>64</v>
      </c>
      <c r="W588" t="str">
        <f t="shared" si="234"/>
        <v>美國國會圖書分類法</v>
      </c>
      <c r="Y588" t="str">
        <f>("TK5105.35")</f>
        <v>TK5105.35</v>
      </c>
      <c r="Z588" t="str">
        <f t="shared" si="239"/>
        <v>2018/08/11 13:34:33</v>
      </c>
      <c r="AA588" t="str">
        <f t="shared" ref="AA588:AA651" si="243">("catc")</f>
        <v>catc</v>
      </c>
      <c r="AC588" t="str">
        <f>("A525")</f>
        <v>A525</v>
      </c>
      <c r="AE588" t="str">
        <f t="shared" si="240"/>
        <v>c.1</v>
      </c>
      <c r="AF588" t="str">
        <f t="shared" si="241"/>
        <v>1.可借圖書</v>
      </c>
      <c r="AG588" t="str">
        <f t="shared" si="242"/>
        <v>在架</v>
      </c>
      <c r="AI588" t="s">
        <v>65</v>
      </c>
      <c r="AK588" t="str">
        <f t="shared" ref="AK588:AK651" si="244">("一般(Normal)")</f>
        <v>一般(Normal)</v>
      </c>
      <c r="AO588" t="s">
        <v>65</v>
      </c>
      <c r="AS588" t="str">
        <f>("c1998.")</f>
        <v>c1998.</v>
      </c>
      <c r="AT588" t="str">
        <f t="shared" ref="AT588:AT651" si="245">("catc")</f>
        <v>catc</v>
      </c>
    </row>
    <row r="589" spans="1:46" x14ac:dyDescent="0.25">
      <c r="A589">
        <v>578</v>
      </c>
      <c r="B589" t="str">
        <f>("289417")</f>
        <v>289417</v>
      </c>
      <c r="C589" t="str">
        <f>("W00002614")</f>
        <v>W00002614</v>
      </c>
      <c r="D589" t="str">
        <f>("The Internet kids &amp; family yellow pages / ")</f>
        <v xml:space="preserve">The Internet kids &amp; family yellow pages / </v>
      </c>
      <c r="E589" t="str">
        <f>("Polly, Jean Armour. ")</f>
        <v xml:space="preserve">Polly, Jean Armour. </v>
      </c>
      <c r="F589" t="str">
        <f>(" Osborne McGraw-Hill, ")</f>
        <v xml:space="preserve"> Osborne McGraw-Hill, </v>
      </c>
      <c r="G589" t="str">
        <f>("2001 ed. ")</f>
        <v xml:space="preserve">2001 ed. </v>
      </c>
      <c r="H589" t="str">
        <f t="shared" si="225"/>
        <v>圖書 book</v>
      </c>
      <c r="I589" t="str">
        <f>("TK5105.875.I57 P771 2001")</f>
        <v>TK5105.875.I57 P771 2001</v>
      </c>
      <c r="J589" t="str">
        <f>("0072126620")</f>
        <v>0072126620</v>
      </c>
      <c r="K589" t="str">
        <f>("704")</f>
        <v>704</v>
      </c>
      <c r="L589" t="str">
        <f t="shared" si="224"/>
        <v>2001/10/10 00:00:00</v>
      </c>
      <c r="M589" t="str">
        <f t="shared" si="237"/>
        <v>2018/08/11 13:34:33</v>
      </c>
      <c r="N589" t="str">
        <f>("2001")</f>
        <v>2001</v>
      </c>
      <c r="O589" t="str">
        <f t="shared" si="238"/>
        <v>4F西文書庫 4F Western Language Books</v>
      </c>
      <c r="P589" t="s">
        <v>64</v>
      </c>
      <c r="W589" t="str">
        <f t="shared" si="234"/>
        <v>美國國會圖書分類法</v>
      </c>
      <c r="Y589" t="str">
        <f>("TK5105.875.I57")</f>
        <v>TK5105.875.I57</v>
      </c>
      <c r="Z589" t="str">
        <f t="shared" si="239"/>
        <v>2018/08/11 13:34:33</v>
      </c>
      <c r="AA589" t="str">
        <f t="shared" si="243"/>
        <v>catc</v>
      </c>
      <c r="AC589" t="str">
        <f>("P771")</f>
        <v>P771</v>
      </c>
      <c r="AE589" t="str">
        <f t="shared" si="240"/>
        <v>c.1</v>
      </c>
      <c r="AF589" t="str">
        <f t="shared" si="241"/>
        <v>1.可借圖書</v>
      </c>
      <c r="AG589" t="str">
        <f t="shared" si="242"/>
        <v>在架</v>
      </c>
      <c r="AI589" t="s">
        <v>65</v>
      </c>
      <c r="AK589" t="str">
        <f t="shared" si="244"/>
        <v>一般(Normal)</v>
      </c>
      <c r="AO589" t="s">
        <v>65</v>
      </c>
      <c r="AS589" t="str">
        <f>(" c2000. ")</f>
        <v xml:space="preserve"> c2000. </v>
      </c>
      <c r="AT589" t="str">
        <f t="shared" si="245"/>
        <v>catc</v>
      </c>
    </row>
    <row r="590" spans="1:46" x14ac:dyDescent="0.25">
      <c r="A590">
        <v>579</v>
      </c>
      <c r="B590" t="str">
        <f>("289418")</f>
        <v>289418</v>
      </c>
      <c r="C590" t="str">
        <f>("W00002615")</f>
        <v>W00002615</v>
      </c>
      <c r="D590" t="str">
        <f>("i-Net+ certification all-in-one exam guide / ")</f>
        <v xml:space="preserve">i-Net+ certification all-in-one exam guide / </v>
      </c>
      <c r="E590" t="str">
        <f>("Zeff, Andrew R. ")</f>
        <v xml:space="preserve">Zeff, Andrew R. </v>
      </c>
      <c r="F590" t="str">
        <f>("McGraw-Hill, ")</f>
        <v xml:space="preserve">McGraw-Hill, </v>
      </c>
      <c r="H590" t="str">
        <f t="shared" si="225"/>
        <v>圖書 book</v>
      </c>
      <c r="I590" t="str">
        <f>("QA76.3 Z41 2000")</f>
        <v>QA76.3 Z41 2000</v>
      </c>
      <c r="J590" t="str">
        <f>("007212265X")</f>
        <v>007212265X</v>
      </c>
      <c r="K590" t="str">
        <f>("1498")</f>
        <v>1498</v>
      </c>
      <c r="L590" t="str">
        <f t="shared" ref="L590:L653" si="246">("2001/10/10 00:00:00")</f>
        <v>2001/10/10 00:00:00</v>
      </c>
      <c r="M590" t="str">
        <f t="shared" si="237"/>
        <v>2018/08/11 13:34:33</v>
      </c>
      <c r="N590" t="str">
        <f>("2000")</f>
        <v>2000</v>
      </c>
      <c r="O590" t="str">
        <f t="shared" si="238"/>
        <v>4F西文書庫 4F Western Language Books</v>
      </c>
      <c r="P590" t="s">
        <v>64</v>
      </c>
      <c r="W590" t="str">
        <f t="shared" si="234"/>
        <v>美國國會圖書分類法</v>
      </c>
      <c r="Y590" t="str">
        <f>("QA76.3")</f>
        <v>QA76.3</v>
      </c>
      <c r="Z590" t="str">
        <f t="shared" si="239"/>
        <v>2018/08/11 13:34:33</v>
      </c>
      <c r="AA590" t="str">
        <f t="shared" si="243"/>
        <v>catc</v>
      </c>
      <c r="AC590" t="str">
        <f>("Z41")</f>
        <v>Z41</v>
      </c>
      <c r="AE590" t="str">
        <f t="shared" si="240"/>
        <v>c.1</v>
      </c>
      <c r="AF590" t="str">
        <f t="shared" si="241"/>
        <v>1.可借圖書</v>
      </c>
      <c r="AG590" t="str">
        <f t="shared" si="242"/>
        <v>在架</v>
      </c>
      <c r="AI590" t="s">
        <v>65</v>
      </c>
      <c r="AK590" t="str">
        <f t="shared" si="244"/>
        <v>一般(Normal)</v>
      </c>
      <c r="AO590" t="s">
        <v>65</v>
      </c>
      <c r="AS590" t="str">
        <f>("c2000. ")</f>
        <v xml:space="preserve">c2000. </v>
      </c>
      <c r="AT590" t="str">
        <f t="shared" si="245"/>
        <v>catc</v>
      </c>
    </row>
    <row r="591" spans="1:46" x14ac:dyDescent="0.25">
      <c r="A591">
        <v>580</v>
      </c>
      <c r="B591" t="str">
        <f>("289419")</f>
        <v>289419</v>
      </c>
      <c r="C591" t="str">
        <f>("W00002616")</f>
        <v>W00002616</v>
      </c>
      <c r="D591" t="str">
        <f>("Application developmentaccelerated Lotus Notes study guide /")</f>
        <v>Application developmentaccelerated Lotus Notes study guide /</v>
      </c>
      <c r="E591" t="str">
        <f>("Schwarz, Libby Ingrassia ")</f>
        <v xml:space="preserve">Schwarz, Libby Ingrassia </v>
      </c>
      <c r="F591" t="str">
        <f>("McGraw-Hill,")</f>
        <v>McGraw-Hill,</v>
      </c>
      <c r="H591" t="str">
        <f t="shared" si="225"/>
        <v>圖書 book</v>
      </c>
      <c r="I591" t="str">
        <f>("HF5548.4.L692 S411 1998")</f>
        <v>HF5548.4.L692 S411 1998</v>
      </c>
      <c r="J591" t="str">
        <f>("0071345698")</f>
        <v>0071345698</v>
      </c>
      <c r="K591" t="str">
        <f>("840")</f>
        <v>840</v>
      </c>
      <c r="L591" t="str">
        <f t="shared" si="246"/>
        <v>2001/10/10 00:00:00</v>
      </c>
      <c r="M591" t="str">
        <f t="shared" ref="M591:M600" si="247">("2018/08/11 13:34:34")</f>
        <v>2018/08/11 13:34:34</v>
      </c>
      <c r="N591" t="str">
        <f>("1998")</f>
        <v>1998</v>
      </c>
      <c r="O591" t="str">
        <f t="shared" si="238"/>
        <v>4F西文書庫 4F Western Language Books</v>
      </c>
      <c r="P591" t="s">
        <v>64</v>
      </c>
      <c r="W591" t="str">
        <f t="shared" si="234"/>
        <v>美國國會圖書分類法</v>
      </c>
      <c r="Y591" t="str">
        <f>("HF5548.4.L692")</f>
        <v>HF5548.4.L692</v>
      </c>
      <c r="Z591" t="str">
        <f t="shared" ref="Z591:Z601" si="248">("2018/08/11 13:34:34")</f>
        <v>2018/08/11 13:34:34</v>
      </c>
      <c r="AA591" t="str">
        <f t="shared" si="243"/>
        <v>catc</v>
      </c>
      <c r="AC591" t="str">
        <f>("S411")</f>
        <v>S411</v>
      </c>
      <c r="AE591" t="str">
        <f t="shared" si="240"/>
        <v>c.1</v>
      </c>
      <c r="AF591" t="str">
        <f t="shared" si="241"/>
        <v>1.可借圖書</v>
      </c>
      <c r="AG591" t="str">
        <f t="shared" si="242"/>
        <v>在架</v>
      </c>
      <c r="AI591" t="s">
        <v>65</v>
      </c>
      <c r="AK591" t="str">
        <f t="shared" si="244"/>
        <v>一般(Normal)</v>
      </c>
      <c r="AO591" t="s">
        <v>65</v>
      </c>
      <c r="AS591" t="str">
        <f>("c1998 ")</f>
        <v xml:space="preserve">c1998 </v>
      </c>
      <c r="AT591" t="str">
        <f t="shared" si="245"/>
        <v>catc</v>
      </c>
    </row>
    <row r="592" spans="1:46" x14ac:dyDescent="0.25">
      <c r="A592">
        <v>581</v>
      </c>
      <c r="B592" t="str">
        <f>("289427")</f>
        <v>289427</v>
      </c>
      <c r="C592" t="str">
        <f>("W00002617")</f>
        <v>W00002617</v>
      </c>
      <c r="D592" t="str">
        <f>("Sams teach yourself Active Server Pages in 24 hours. ")</f>
        <v xml:space="preserve">Sams teach yourself Active Server Pages in 24 hours. </v>
      </c>
      <c r="E592" t="str">
        <f>("Wille, Christoph. ")</f>
        <v xml:space="preserve">Wille, Christoph. </v>
      </c>
      <c r="F592" t="str">
        <f>("Sams, ")</f>
        <v xml:space="preserve">Sams, </v>
      </c>
      <c r="H592" t="str">
        <f t="shared" si="225"/>
        <v>圖書 book</v>
      </c>
      <c r="I592" t="str">
        <f>("TK5105.8885.A26 W698 1999")</f>
        <v>TK5105.8885.A26 W698 1999</v>
      </c>
      <c r="J592" t="str">
        <f>("0672316129")</f>
        <v>0672316129</v>
      </c>
      <c r="K592" t="str">
        <f>("1264")</f>
        <v>1264</v>
      </c>
      <c r="L592" t="str">
        <f t="shared" si="246"/>
        <v>2001/10/10 00:00:00</v>
      </c>
      <c r="M592" t="str">
        <f t="shared" si="247"/>
        <v>2018/08/11 13:34:34</v>
      </c>
      <c r="N592" t="str">
        <f>("1999")</f>
        <v>1999</v>
      </c>
      <c r="O592" t="str">
        <f t="shared" si="238"/>
        <v>4F西文書庫 4F Western Language Books</v>
      </c>
      <c r="P592" t="s">
        <v>64</v>
      </c>
      <c r="Q592" t="str">
        <f>("光碟片1片+1小冊子")</f>
        <v>光碟片1片+1小冊子</v>
      </c>
      <c r="W592" t="str">
        <f t="shared" si="234"/>
        <v>美國國會圖書分類法</v>
      </c>
      <c r="Y592" t="str">
        <f>("TK5105.8885.A26")</f>
        <v>TK5105.8885.A26</v>
      </c>
      <c r="Z592" t="str">
        <f t="shared" si="248"/>
        <v>2018/08/11 13:34:34</v>
      </c>
      <c r="AA592" t="str">
        <f t="shared" si="243"/>
        <v>catc</v>
      </c>
      <c r="AC592" t="str">
        <f>("W698")</f>
        <v>W698</v>
      </c>
      <c r="AE592" t="str">
        <f t="shared" si="240"/>
        <v>c.1</v>
      </c>
      <c r="AF592" t="str">
        <f t="shared" si="241"/>
        <v>1.可借圖書</v>
      </c>
      <c r="AG592" t="str">
        <f t="shared" si="242"/>
        <v>在架</v>
      </c>
      <c r="AI592" t="s">
        <v>65</v>
      </c>
      <c r="AK592" t="str">
        <f t="shared" si="244"/>
        <v>一般(Normal)</v>
      </c>
      <c r="AO592" t="s">
        <v>65</v>
      </c>
      <c r="AS592" t="str">
        <f>("1999. ")</f>
        <v xml:space="preserve">1999. </v>
      </c>
      <c r="AT592" t="str">
        <f t="shared" si="245"/>
        <v>catc</v>
      </c>
    </row>
    <row r="593" spans="1:46" x14ac:dyDescent="0.25">
      <c r="A593">
        <v>582</v>
      </c>
      <c r="B593" t="str">
        <f>("289428")</f>
        <v>289428</v>
      </c>
      <c r="C593" t="str">
        <f>("W00002618")</f>
        <v>W00002618</v>
      </c>
      <c r="D593" t="str">
        <f>("Sams teach yourself Visual Interdev 6 in 24 hours./")</f>
        <v>Sams teach yourself Visual Interdev 6 in 24 hours./</v>
      </c>
      <c r="E593" t="str">
        <f>("Archer,Tom ")</f>
        <v xml:space="preserve">Archer,Tom </v>
      </c>
      <c r="F593" t="str">
        <f>("Sams, ")</f>
        <v xml:space="preserve">Sams, </v>
      </c>
      <c r="H593" t="str">
        <f t="shared" si="225"/>
        <v>圖書 book</v>
      </c>
      <c r="I593" t="str">
        <f>("TK5105.8885.A26 A671 1999")</f>
        <v>TK5105.8885.A26 A671 1999</v>
      </c>
      <c r="J593" t="str">
        <f>("0672316129")</f>
        <v>0672316129</v>
      </c>
      <c r="K593" t="str">
        <f>("1264")</f>
        <v>1264</v>
      </c>
      <c r="L593" t="str">
        <f t="shared" si="246"/>
        <v>2001/10/10 00:00:00</v>
      </c>
      <c r="M593" t="str">
        <f t="shared" si="247"/>
        <v>2018/08/11 13:34:34</v>
      </c>
      <c r="N593" t="str">
        <f>("1999")</f>
        <v>1999</v>
      </c>
      <c r="O593" t="str">
        <f t="shared" si="238"/>
        <v>4F西文書庫 4F Western Language Books</v>
      </c>
      <c r="P593" t="s">
        <v>64</v>
      </c>
      <c r="W593" t="str">
        <f t="shared" si="234"/>
        <v>美國國會圖書分類法</v>
      </c>
      <c r="Y593" t="str">
        <f>("TK5105.8885.A26")</f>
        <v>TK5105.8885.A26</v>
      </c>
      <c r="Z593" t="str">
        <f t="shared" si="248"/>
        <v>2018/08/11 13:34:34</v>
      </c>
      <c r="AA593" t="str">
        <f t="shared" si="243"/>
        <v>catc</v>
      </c>
      <c r="AC593" t="str">
        <f>("A671")</f>
        <v>A671</v>
      </c>
      <c r="AE593" t="str">
        <f t="shared" si="240"/>
        <v>c.1</v>
      </c>
      <c r="AF593" t="str">
        <f t="shared" si="241"/>
        <v>1.可借圖書</v>
      </c>
      <c r="AG593" t="str">
        <f t="shared" si="242"/>
        <v>在架</v>
      </c>
      <c r="AI593" t="s">
        <v>65</v>
      </c>
      <c r="AK593" t="str">
        <f t="shared" si="244"/>
        <v>一般(Normal)</v>
      </c>
      <c r="AO593" t="s">
        <v>65</v>
      </c>
      <c r="AS593" t="str">
        <f>("1999. ")</f>
        <v xml:space="preserve">1999. </v>
      </c>
      <c r="AT593" t="str">
        <f t="shared" si="245"/>
        <v>catc</v>
      </c>
    </row>
    <row r="594" spans="1:46" x14ac:dyDescent="0.25">
      <c r="A594">
        <v>583</v>
      </c>
      <c r="B594" t="str">
        <f>("289429")</f>
        <v>289429</v>
      </c>
      <c r="C594" t="str">
        <f>("W00002619")</f>
        <v>W00002619</v>
      </c>
      <c r="D594" t="str">
        <f>("Understanding public-key infrastructure :concepts, standards, and deployment considerations /")</f>
        <v>Understanding public-key infrastructure :concepts, standards, and deployment considerations /</v>
      </c>
      <c r="E594" t="str">
        <f>("Adams, Carlisle,1961- ")</f>
        <v xml:space="preserve">Adams, Carlisle,1961- </v>
      </c>
      <c r="F594" t="str">
        <f>("Macmillan Technical Pub.,")</f>
        <v>Macmillan Technical Pub.,</v>
      </c>
      <c r="H594" t="str">
        <f t="shared" si="225"/>
        <v>圖書 book</v>
      </c>
      <c r="I594" t="str">
        <f>("QA76.9.A25 A211 1999")</f>
        <v>QA76.9.A25 A211 1999</v>
      </c>
      <c r="J594" t="str">
        <f>("157870166X")</f>
        <v>157870166X</v>
      </c>
      <c r="K594" t="str">
        <f>("1400")</f>
        <v>1400</v>
      </c>
      <c r="L594" t="str">
        <f t="shared" si="246"/>
        <v>2001/10/10 00:00:00</v>
      </c>
      <c r="M594" t="str">
        <f t="shared" si="247"/>
        <v>2018/08/11 13:34:34</v>
      </c>
      <c r="N594" t="str">
        <f>("1999")</f>
        <v>1999</v>
      </c>
      <c r="O594" t="str">
        <f t="shared" si="238"/>
        <v>4F西文書庫 4F Western Language Books</v>
      </c>
      <c r="P594" t="s">
        <v>64</v>
      </c>
      <c r="S594" t="str">
        <f>("xxii, 296 p. :")</f>
        <v>xxii, 296 p. :</v>
      </c>
      <c r="T594" t="str">
        <f>("ill. ;")</f>
        <v>ill. ;</v>
      </c>
      <c r="U594" t="str">
        <f>("24 cm ")</f>
        <v xml:space="preserve">24 cm </v>
      </c>
      <c r="W594" t="str">
        <f t="shared" si="234"/>
        <v>美國國會圖書分類法</v>
      </c>
      <c r="Y594" t="str">
        <f>("QA76.9.A25")</f>
        <v>QA76.9.A25</v>
      </c>
      <c r="Z594" t="str">
        <f t="shared" si="248"/>
        <v>2018/08/11 13:34:34</v>
      </c>
      <c r="AA594" t="str">
        <f t="shared" si="243"/>
        <v>catc</v>
      </c>
      <c r="AC594" t="str">
        <f>("A211")</f>
        <v>A211</v>
      </c>
      <c r="AE594" t="str">
        <f t="shared" si="240"/>
        <v>c.1</v>
      </c>
      <c r="AF594" t="str">
        <f t="shared" si="241"/>
        <v>1.可借圖書</v>
      </c>
      <c r="AG594" t="str">
        <f t="shared" si="242"/>
        <v>在架</v>
      </c>
      <c r="AI594" t="s">
        <v>65</v>
      </c>
      <c r="AK594" t="str">
        <f t="shared" si="244"/>
        <v>一般(Normal)</v>
      </c>
      <c r="AO594" t="s">
        <v>65</v>
      </c>
      <c r="AS594" t="str">
        <f>("c1999 ")</f>
        <v xml:space="preserve">c1999 </v>
      </c>
      <c r="AT594" t="str">
        <f t="shared" si="245"/>
        <v>catc</v>
      </c>
    </row>
    <row r="595" spans="1:46" x14ac:dyDescent="0.25">
      <c r="A595">
        <v>584</v>
      </c>
      <c r="B595" t="str">
        <f>("289430")</f>
        <v>289430</v>
      </c>
      <c r="C595" t="str">
        <f>("W00002620")</f>
        <v>W00002620</v>
      </c>
      <c r="D595" t="str">
        <f>("C Programming for embedded systems")</f>
        <v>C Programming for embedded systems</v>
      </c>
      <c r="E595" t="str">
        <f>("Zurell, Kirk ")</f>
        <v xml:space="preserve">Zurell, Kirk </v>
      </c>
      <c r="F595" t="str">
        <f>("CMP Media,")</f>
        <v>CMP Media,</v>
      </c>
      <c r="H595" t="str">
        <f t="shared" si="225"/>
        <v>圖書 book</v>
      </c>
      <c r="I595" t="str">
        <f>("QA76.73.C15 Z96 2000")</f>
        <v>QA76.73.C15 Z96 2000</v>
      </c>
      <c r="J595" t="str">
        <f>("1929629044")</f>
        <v>1929629044</v>
      </c>
      <c r="K595" t="str">
        <f>("840")</f>
        <v>840</v>
      </c>
      <c r="L595" t="str">
        <f t="shared" si="246"/>
        <v>2001/10/10 00:00:00</v>
      </c>
      <c r="M595" t="str">
        <f t="shared" si="247"/>
        <v>2018/08/11 13:34:34</v>
      </c>
      <c r="N595" t="str">
        <f>("2000")</f>
        <v>2000</v>
      </c>
      <c r="O595" t="str">
        <f t="shared" si="238"/>
        <v>4F西文書庫 4F Western Language Books</v>
      </c>
      <c r="P595" t="s">
        <v>64</v>
      </c>
      <c r="W595" t="str">
        <f t="shared" si="234"/>
        <v>美國國會圖書分類法</v>
      </c>
      <c r="Y595" t="str">
        <f>("QA76.73.C15")</f>
        <v>QA76.73.C15</v>
      </c>
      <c r="Z595" t="str">
        <f t="shared" si="248"/>
        <v>2018/08/11 13:34:34</v>
      </c>
      <c r="AA595" t="str">
        <f t="shared" si="243"/>
        <v>catc</v>
      </c>
      <c r="AC595" t="str">
        <f>("Z96")</f>
        <v>Z96</v>
      </c>
      <c r="AE595" t="str">
        <f t="shared" si="240"/>
        <v>c.1</v>
      </c>
      <c r="AF595" t="str">
        <f t="shared" si="241"/>
        <v>1.可借圖書</v>
      </c>
      <c r="AG595" t="str">
        <f t="shared" si="242"/>
        <v>在架</v>
      </c>
      <c r="AI595" t="s">
        <v>65</v>
      </c>
      <c r="AK595" t="str">
        <f t="shared" si="244"/>
        <v>一般(Normal)</v>
      </c>
      <c r="AO595" t="s">
        <v>65</v>
      </c>
      <c r="AS595" t="str">
        <f>("c2000 ")</f>
        <v xml:space="preserve">c2000 </v>
      </c>
      <c r="AT595" t="str">
        <f t="shared" si="245"/>
        <v>catc</v>
      </c>
    </row>
    <row r="596" spans="1:46" x14ac:dyDescent="0.25">
      <c r="A596">
        <v>585</v>
      </c>
      <c r="B596" t="str">
        <f>("289431")</f>
        <v>289431</v>
      </c>
      <c r="C596" t="str">
        <f>("W00002621")</f>
        <v>W00002621</v>
      </c>
      <c r="D596" t="str">
        <f>("Using XML  ")</f>
        <v xml:space="preserve">Using XML  </v>
      </c>
      <c r="E596" t="str">
        <f>("Phillips, Lee Anne. ")</f>
        <v xml:space="preserve">Phillips, Lee Anne. </v>
      </c>
      <c r="F596" t="str">
        <f>("Macmillan Computer Publishing, ")</f>
        <v xml:space="preserve">Macmillan Computer Publishing, </v>
      </c>
      <c r="G596" t="str">
        <f>("Special ed. ")</f>
        <v xml:space="preserve">Special ed. </v>
      </c>
      <c r="H596" t="str">
        <f t="shared" si="225"/>
        <v>圖書 book</v>
      </c>
      <c r="I596" t="str">
        <f>("QA76.76.H94 P558 2000")</f>
        <v>QA76.76.H94 P558 2000</v>
      </c>
      <c r="J596" t="str">
        <f>("0789719967")</f>
        <v>0789719967</v>
      </c>
      <c r="K596" t="str">
        <f>("1120")</f>
        <v>1120</v>
      </c>
      <c r="L596" t="str">
        <f t="shared" si="246"/>
        <v>2001/10/10 00:00:00</v>
      </c>
      <c r="M596" t="str">
        <f t="shared" si="247"/>
        <v>2018/08/11 13:34:34</v>
      </c>
      <c r="N596" t="str">
        <f>("2000")</f>
        <v>2000</v>
      </c>
      <c r="O596" t="str">
        <f t="shared" si="238"/>
        <v>4F西文書庫 4F Western Language Books</v>
      </c>
      <c r="P596" t="s">
        <v>64</v>
      </c>
      <c r="W596" t="str">
        <f t="shared" si="234"/>
        <v>美國國會圖書分類法</v>
      </c>
      <c r="Y596" t="str">
        <f>("QA76.76.H94")</f>
        <v>QA76.76.H94</v>
      </c>
      <c r="Z596" t="str">
        <f t="shared" si="248"/>
        <v>2018/08/11 13:34:34</v>
      </c>
      <c r="AA596" t="str">
        <f t="shared" si="243"/>
        <v>catc</v>
      </c>
      <c r="AC596" t="str">
        <f>("P558")</f>
        <v>P558</v>
      </c>
      <c r="AE596" t="str">
        <f t="shared" si="240"/>
        <v>c.1</v>
      </c>
      <c r="AF596" t="str">
        <f t="shared" si="241"/>
        <v>1.可借圖書</v>
      </c>
      <c r="AG596" t="str">
        <f t="shared" si="242"/>
        <v>在架</v>
      </c>
      <c r="AI596" t="s">
        <v>65</v>
      </c>
      <c r="AK596" t="str">
        <f t="shared" si="244"/>
        <v>一般(Normal)</v>
      </c>
      <c r="AO596" t="s">
        <v>65</v>
      </c>
      <c r="AS596" t="str">
        <f>("2000. ")</f>
        <v xml:space="preserve">2000. </v>
      </c>
      <c r="AT596" t="str">
        <f t="shared" si="245"/>
        <v>catc</v>
      </c>
    </row>
    <row r="597" spans="1:46" x14ac:dyDescent="0.25">
      <c r="A597">
        <v>586</v>
      </c>
      <c r="B597" t="str">
        <f>("289420")</f>
        <v>289420</v>
      </c>
      <c r="C597" t="str">
        <f>("W00002622")</f>
        <v>W00002622</v>
      </c>
      <c r="D597" t="str">
        <f>("Data modeling with ERwin /")</f>
        <v>Data modeling with ERwin /</v>
      </c>
      <c r="E597" t="str">
        <f>("DeAngelis, Carla ")</f>
        <v xml:space="preserve">DeAngelis, Carla </v>
      </c>
      <c r="F597" t="str">
        <f>("Sams,")</f>
        <v>Sams,</v>
      </c>
      <c r="H597" t="str">
        <f t="shared" ref="H597:H660" si="249">("圖書 book")</f>
        <v>圖書 book</v>
      </c>
      <c r="I597" t="str">
        <f>("QA76.9.D26 D317 2000")</f>
        <v>QA76.9.D26 D317 2000</v>
      </c>
      <c r="J597" t="str">
        <f>("0672318687")</f>
        <v>0672318687</v>
      </c>
      <c r="K597" t="str">
        <f>("1120")</f>
        <v>1120</v>
      </c>
      <c r="L597" t="str">
        <f t="shared" si="246"/>
        <v>2001/10/10 00:00:00</v>
      </c>
      <c r="M597" t="str">
        <f t="shared" si="247"/>
        <v>2018/08/11 13:34:34</v>
      </c>
      <c r="N597" t="str">
        <f>("2000")</f>
        <v>2000</v>
      </c>
      <c r="O597" t="str">
        <f t="shared" si="238"/>
        <v>4F西文書庫 4F Western Language Books</v>
      </c>
      <c r="P597" t="s">
        <v>64</v>
      </c>
      <c r="W597" t="str">
        <f t="shared" si="234"/>
        <v>美國國會圖書分類法</v>
      </c>
      <c r="Y597" t="str">
        <f>("QA76.9.D26")</f>
        <v>QA76.9.D26</v>
      </c>
      <c r="Z597" t="str">
        <f t="shared" si="248"/>
        <v>2018/08/11 13:34:34</v>
      </c>
      <c r="AA597" t="str">
        <f t="shared" si="243"/>
        <v>catc</v>
      </c>
      <c r="AC597" t="str">
        <f>("D317")</f>
        <v>D317</v>
      </c>
      <c r="AE597" t="str">
        <f t="shared" si="240"/>
        <v>c.1</v>
      </c>
      <c r="AF597" t="str">
        <f t="shared" si="241"/>
        <v>1.可借圖書</v>
      </c>
      <c r="AG597" t="str">
        <f t="shared" si="242"/>
        <v>在架</v>
      </c>
      <c r="AI597" t="s">
        <v>65</v>
      </c>
      <c r="AK597" t="str">
        <f t="shared" si="244"/>
        <v>一般(Normal)</v>
      </c>
      <c r="AO597" t="s">
        <v>65</v>
      </c>
      <c r="AS597" t="str">
        <f>("2000 ")</f>
        <v xml:space="preserve">2000 </v>
      </c>
      <c r="AT597" t="str">
        <f t="shared" si="245"/>
        <v>catc</v>
      </c>
    </row>
    <row r="598" spans="1:46" x14ac:dyDescent="0.25">
      <c r="A598">
        <v>587</v>
      </c>
      <c r="B598" t="str">
        <f>("289441")</f>
        <v>289441</v>
      </c>
      <c r="C598" t="str">
        <f>("W00002623")</f>
        <v>W00002623</v>
      </c>
      <c r="D598" t="str">
        <f>("Sams teach yourself Microsoft Windows Me Millennium edition in 24 hours / ")</f>
        <v xml:space="preserve">Sams teach yourself Microsoft Windows Me Millennium edition in 24 hours / </v>
      </c>
      <c r="E598" t="str">
        <f>("Perry, Greg M. ")</f>
        <v xml:space="preserve">Perry, Greg M. </v>
      </c>
      <c r="F598" t="str">
        <f>("Sams, ")</f>
        <v xml:space="preserve">Sams, </v>
      </c>
      <c r="H598" t="str">
        <f t="shared" si="249"/>
        <v>圖書 book</v>
      </c>
      <c r="I598" t="str">
        <f>("QA76.76.O63 P462 2000")</f>
        <v>QA76.76.O63 P462 2000</v>
      </c>
      <c r="J598" t="str">
        <f>("0672319535")</f>
        <v>0672319535</v>
      </c>
      <c r="K598" t="str">
        <f>("560")</f>
        <v>560</v>
      </c>
      <c r="L598" t="str">
        <f t="shared" si="246"/>
        <v>2001/10/10 00:00:00</v>
      </c>
      <c r="M598" t="str">
        <f t="shared" si="247"/>
        <v>2018/08/11 13:34:34</v>
      </c>
      <c r="N598" t="str">
        <f>("2000")</f>
        <v>2000</v>
      </c>
      <c r="O598" t="str">
        <f t="shared" si="238"/>
        <v>4F西文書庫 4F Western Language Books</v>
      </c>
      <c r="P598" t="s">
        <v>64</v>
      </c>
      <c r="W598" t="str">
        <f t="shared" si="234"/>
        <v>美國國會圖書分類法</v>
      </c>
      <c r="Y598" t="str">
        <f>("QA76.76.O63")</f>
        <v>QA76.76.O63</v>
      </c>
      <c r="Z598" t="str">
        <f t="shared" si="248"/>
        <v>2018/08/11 13:34:34</v>
      </c>
      <c r="AA598" t="str">
        <f t="shared" si="243"/>
        <v>catc</v>
      </c>
      <c r="AC598" t="str">
        <f>("P462")</f>
        <v>P462</v>
      </c>
      <c r="AE598" t="str">
        <f t="shared" si="240"/>
        <v>c.1</v>
      </c>
      <c r="AF598" t="str">
        <f t="shared" si="241"/>
        <v>1.可借圖書</v>
      </c>
      <c r="AG598" t="str">
        <f t="shared" si="242"/>
        <v>在架</v>
      </c>
      <c r="AI598" t="s">
        <v>65</v>
      </c>
      <c r="AK598" t="str">
        <f t="shared" si="244"/>
        <v>一般(Normal)</v>
      </c>
      <c r="AO598" t="s">
        <v>65</v>
      </c>
      <c r="AS598" t="str">
        <f>("2000. ")</f>
        <v xml:space="preserve">2000. </v>
      </c>
      <c r="AT598" t="str">
        <f t="shared" si="245"/>
        <v>catc</v>
      </c>
    </row>
    <row r="599" spans="1:46" x14ac:dyDescent="0.25">
      <c r="A599">
        <v>588</v>
      </c>
      <c r="B599" t="str">
        <f>("289442")</f>
        <v>289442</v>
      </c>
      <c r="C599" t="str">
        <f>("W00002624")</f>
        <v>W00002624</v>
      </c>
      <c r="D599" t="str">
        <f>("Designing a data warehouse :supporting customer relationship management /")</f>
        <v>Designing a data warehouse :supporting customer relationship management /</v>
      </c>
      <c r="E599" t="str">
        <f>("Todman, Chris ")</f>
        <v xml:space="preserve">Todman, Chris </v>
      </c>
      <c r="F599" t="str">
        <f>("Prentice Hall PTR,")</f>
        <v>Prentice Hall PTR,</v>
      </c>
      <c r="H599" t="str">
        <f t="shared" si="249"/>
        <v>圖書 book</v>
      </c>
      <c r="I599" t="str">
        <f>("QA76.9.D3 T639 2001 c.2")</f>
        <v>QA76.9.D3 T639 2001 c.2</v>
      </c>
      <c r="J599" t="str">
        <f>("0130897124")</f>
        <v>0130897124</v>
      </c>
      <c r="K599" t="str">
        <f>("1400")</f>
        <v>1400</v>
      </c>
      <c r="L599" t="str">
        <f t="shared" si="246"/>
        <v>2001/10/10 00:00:00</v>
      </c>
      <c r="M599" t="str">
        <f t="shared" si="247"/>
        <v>2018/08/11 13:34:34</v>
      </c>
      <c r="N599" t="str">
        <f>("2001")</f>
        <v>2001</v>
      </c>
      <c r="O599" t="str">
        <f t="shared" si="238"/>
        <v>4F西文書庫 4F Western Language Books</v>
      </c>
      <c r="P599" t="s">
        <v>64</v>
      </c>
      <c r="W599" t="str">
        <f t="shared" si="234"/>
        <v>美國國會圖書分類法</v>
      </c>
      <c r="Y599" t="str">
        <f>("QA76.9.D3")</f>
        <v>QA76.9.D3</v>
      </c>
      <c r="Z599" t="str">
        <f t="shared" si="248"/>
        <v>2018/08/11 13:34:34</v>
      </c>
      <c r="AA599" t="str">
        <f t="shared" si="243"/>
        <v>catc</v>
      </c>
      <c r="AC599" t="str">
        <f>("T639")</f>
        <v>T639</v>
      </c>
      <c r="AE599" t="str">
        <f>("c.2")</f>
        <v>c.2</v>
      </c>
      <c r="AF599" t="str">
        <f t="shared" si="241"/>
        <v>1.可借圖書</v>
      </c>
      <c r="AG599" t="str">
        <f t="shared" si="242"/>
        <v>在架</v>
      </c>
      <c r="AI599" t="s">
        <v>65</v>
      </c>
      <c r="AK599" t="str">
        <f t="shared" si="244"/>
        <v>一般(Normal)</v>
      </c>
      <c r="AO599" t="s">
        <v>65</v>
      </c>
      <c r="AS599" t="str">
        <f>("c2001 ")</f>
        <v xml:space="preserve">c2001 </v>
      </c>
      <c r="AT599" t="str">
        <f t="shared" si="245"/>
        <v>catc</v>
      </c>
    </row>
    <row r="600" spans="1:46" x14ac:dyDescent="0.25">
      <c r="A600">
        <v>589</v>
      </c>
      <c r="B600" t="str">
        <f>("289443")</f>
        <v>289443</v>
      </c>
      <c r="C600" t="str">
        <f>("W00002625")</f>
        <v>W00002625</v>
      </c>
      <c r="D600" t="str">
        <f>("Linux system administration / ")</f>
        <v xml:space="preserve">Linux system administration / </v>
      </c>
      <c r="E600" t="str">
        <f>("Stanfield, Vicki. ")</f>
        <v xml:space="preserve">Stanfield, Vicki. </v>
      </c>
      <c r="F600" t="str">
        <f>("Sybex, ")</f>
        <v xml:space="preserve">Sybex, </v>
      </c>
      <c r="H600" t="str">
        <f t="shared" si="249"/>
        <v>圖書 book</v>
      </c>
      <c r="I600" t="str">
        <f>("QA76.76.O73 S784 2001")</f>
        <v>QA76.76.O73 S784 2001</v>
      </c>
      <c r="J600" t="str">
        <f>("0782127355")</f>
        <v>0782127355</v>
      </c>
      <c r="K600" t="str">
        <f>("1120")</f>
        <v>1120</v>
      </c>
      <c r="L600" t="str">
        <f t="shared" si="246"/>
        <v>2001/10/10 00:00:00</v>
      </c>
      <c r="M600" t="str">
        <f t="shared" si="247"/>
        <v>2018/08/11 13:34:34</v>
      </c>
      <c r="N600" t="str">
        <f>("2001")</f>
        <v>2001</v>
      </c>
      <c r="O600" t="str">
        <f t="shared" si="238"/>
        <v>4F西文書庫 4F Western Language Books</v>
      </c>
      <c r="P600" t="s">
        <v>64</v>
      </c>
      <c r="W600" t="str">
        <f t="shared" si="234"/>
        <v>美國國會圖書分類法</v>
      </c>
      <c r="Y600" t="str">
        <f>("QA76.76.O73")</f>
        <v>QA76.76.O73</v>
      </c>
      <c r="Z600" t="str">
        <f t="shared" si="248"/>
        <v>2018/08/11 13:34:34</v>
      </c>
      <c r="AA600" t="str">
        <f t="shared" si="243"/>
        <v>catc</v>
      </c>
      <c r="AC600" t="str">
        <f>("S784")</f>
        <v>S784</v>
      </c>
      <c r="AE600" t="str">
        <f t="shared" ref="AE600:AE607" si="250">("c.1")</f>
        <v>c.1</v>
      </c>
      <c r="AF600" t="str">
        <f t="shared" si="241"/>
        <v>1.可借圖書</v>
      </c>
      <c r="AG600" t="str">
        <f t="shared" si="242"/>
        <v>在架</v>
      </c>
      <c r="AI600" t="s">
        <v>65</v>
      </c>
      <c r="AK600" t="str">
        <f t="shared" si="244"/>
        <v>一般(Normal)</v>
      </c>
      <c r="AO600" t="s">
        <v>65</v>
      </c>
      <c r="AS600" t="str">
        <f>("c2001. ")</f>
        <v xml:space="preserve">c2001. </v>
      </c>
      <c r="AT600" t="str">
        <f t="shared" si="245"/>
        <v>catc</v>
      </c>
    </row>
    <row r="601" spans="1:46" x14ac:dyDescent="0.25">
      <c r="A601">
        <v>590</v>
      </c>
      <c r="B601" t="str">
        <f>("289444")</f>
        <v>289444</v>
      </c>
      <c r="C601" t="str">
        <f>("W00002626")</f>
        <v>W00002626</v>
      </c>
      <c r="D601" t="str">
        <f>("Caldera OpenLinux system administration unleashed / ")</f>
        <v xml:space="preserve">Caldera OpenLinux system administration unleashed / </v>
      </c>
      <c r="E601" t="str">
        <f>("Schenk, Thomas.")</f>
        <v>Schenk, Thomas.</v>
      </c>
      <c r="F601" t="str">
        <f>("SAMS, ")</f>
        <v xml:space="preserve">SAMS, </v>
      </c>
      <c r="H601" t="str">
        <f t="shared" si="249"/>
        <v>圖書 book</v>
      </c>
      <c r="I601" t="str">
        <f>("QA76.76.O63 S324 2000")</f>
        <v>QA76.76.O63 S324 2000</v>
      </c>
      <c r="J601" t="str">
        <f>("0672317699")</f>
        <v>0672317699</v>
      </c>
      <c r="K601" t="str">
        <f>("1400")</f>
        <v>1400</v>
      </c>
      <c r="L601" t="str">
        <f t="shared" si="246"/>
        <v>2001/10/10 00:00:00</v>
      </c>
      <c r="M601" t="str">
        <f t="shared" ref="M601:M611" si="251">("2018/08/11 13:34:35")</f>
        <v>2018/08/11 13:34:35</v>
      </c>
      <c r="N601" t="str">
        <f>("2000")</f>
        <v>2000</v>
      </c>
      <c r="O601" t="str">
        <f t="shared" si="238"/>
        <v>4F西文書庫 4F Western Language Books</v>
      </c>
      <c r="P601" t="s">
        <v>64</v>
      </c>
      <c r="S601" t="str">
        <f>("xxiii, 1120 p. : ")</f>
        <v xml:space="preserve">xxiii, 1120 p. : </v>
      </c>
      <c r="T601" t="str">
        <f>("ill. ; ")</f>
        <v xml:space="preserve">ill. ; </v>
      </c>
      <c r="U601" t="str">
        <f>("23 cm. + ")</f>
        <v xml:space="preserve">23 cm. + </v>
      </c>
      <c r="V601" t="str">
        <f>(" 1 computer optical disc (4 3/4 in.) ")</f>
        <v xml:space="preserve"> 1 computer optical disc (4 3/4 in.) </v>
      </c>
      <c r="W601" t="str">
        <f t="shared" si="234"/>
        <v>美國國會圖書分類法</v>
      </c>
      <c r="Y601" t="str">
        <f>("QA76.76.O63")</f>
        <v>QA76.76.O63</v>
      </c>
      <c r="Z601" t="str">
        <f t="shared" si="248"/>
        <v>2018/08/11 13:34:34</v>
      </c>
      <c r="AA601" t="str">
        <f t="shared" si="243"/>
        <v>catc</v>
      </c>
      <c r="AC601" t="str">
        <f>("S324")</f>
        <v>S324</v>
      </c>
      <c r="AE601" t="str">
        <f t="shared" si="250"/>
        <v>c.1</v>
      </c>
      <c r="AF601" t="str">
        <f t="shared" si="241"/>
        <v>1.可借圖書</v>
      </c>
      <c r="AG601" t="str">
        <f t="shared" si="242"/>
        <v>在架</v>
      </c>
      <c r="AI601" t="s">
        <v>65</v>
      </c>
      <c r="AK601" t="str">
        <f t="shared" si="244"/>
        <v>一般(Normal)</v>
      </c>
      <c r="AO601" t="s">
        <v>65</v>
      </c>
      <c r="AS601" t="str">
        <f>("c2000. ")</f>
        <v xml:space="preserve">c2000. </v>
      </c>
      <c r="AT601" t="str">
        <f t="shared" si="245"/>
        <v>catc</v>
      </c>
    </row>
    <row r="602" spans="1:46" x14ac:dyDescent="0.25">
      <c r="A602">
        <v>591</v>
      </c>
      <c r="B602" t="str">
        <f>("289445")</f>
        <v>289445</v>
      </c>
      <c r="C602" t="str">
        <f>("W00002627")</f>
        <v>W00002627</v>
      </c>
      <c r="D602" t="str">
        <f>("Apache Server unleashed / ")</f>
        <v xml:space="preserve">Apache Server unleashed / </v>
      </c>
      <c r="E602" t="str">
        <f>("Bowen, Rich. ")</f>
        <v xml:space="preserve">Bowen, Rich. </v>
      </c>
      <c r="F602" t="str">
        <f>("Sams, ")</f>
        <v xml:space="preserve">Sams, </v>
      </c>
      <c r="H602" t="str">
        <f t="shared" si="249"/>
        <v>圖書 book</v>
      </c>
      <c r="I602" t="str">
        <f>("TK5105.8885.A3 B786 2000")</f>
        <v>TK5105.8885.A3 B786 2000</v>
      </c>
      <c r="J602" t="str">
        <f>("0672318083")</f>
        <v>0672318083</v>
      </c>
      <c r="K602" t="str">
        <f>("1400")</f>
        <v>1400</v>
      </c>
      <c r="L602" t="str">
        <f t="shared" si="246"/>
        <v>2001/10/10 00:00:00</v>
      </c>
      <c r="M602" t="str">
        <f t="shared" si="251"/>
        <v>2018/08/11 13:34:35</v>
      </c>
      <c r="N602" t="str">
        <f>("2000")</f>
        <v>2000</v>
      </c>
      <c r="O602" t="str">
        <f t="shared" si="238"/>
        <v>4F西文書庫 4F Western Language Books</v>
      </c>
      <c r="P602" t="s">
        <v>64</v>
      </c>
      <c r="W602" t="str">
        <f t="shared" si="234"/>
        <v>美國國會圖書分類法</v>
      </c>
      <c r="Y602" t="str">
        <f>("TK5105.8885.A3")</f>
        <v>TK5105.8885.A3</v>
      </c>
      <c r="Z602" t="str">
        <f t="shared" ref="Z602:Z607" si="252">("2018/08/11 13:34:35")</f>
        <v>2018/08/11 13:34:35</v>
      </c>
      <c r="AA602" t="str">
        <f t="shared" si="243"/>
        <v>catc</v>
      </c>
      <c r="AC602" t="str">
        <f>("B786")</f>
        <v>B786</v>
      </c>
      <c r="AE602" t="str">
        <f t="shared" si="250"/>
        <v>c.1</v>
      </c>
      <c r="AF602" t="str">
        <f t="shared" si="241"/>
        <v>1.可借圖書</v>
      </c>
      <c r="AG602" t="str">
        <f t="shared" si="242"/>
        <v>在架</v>
      </c>
      <c r="AI602" t="s">
        <v>65</v>
      </c>
      <c r="AK602" t="str">
        <f t="shared" si="244"/>
        <v>一般(Normal)</v>
      </c>
      <c r="AO602" t="s">
        <v>65</v>
      </c>
      <c r="AS602" t="str">
        <f>("c2000. ")</f>
        <v xml:space="preserve">c2000. </v>
      </c>
      <c r="AT602" t="str">
        <f t="shared" si="245"/>
        <v>catc</v>
      </c>
    </row>
    <row r="603" spans="1:46" x14ac:dyDescent="0.25">
      <c r="A603">
        <v>592</v>
      </c>
      <c r="B603" t="str">
        <f>("289446")</f>
        <v>289446</v>
      </c>
      <c r="C603" t="str">
        <f>("W00002628")</f>
        <v>W00002628</v>
      </c>
      <c r="D603" t="str">
        <f>("Designing routing and switching architectures for enterprise networks /")</f>
        <v>Designing routing and switching architectures for enterprise networks /</v>
      </c>
      <c r="E603" t="str">
        <f>("Berkowitz, Howard C ")</f>
        <v xml:space="preserve">Berkowitz, Howard C </v>
      </c>
      <c r="F603" t="str">
        <f>("Macmillan Technical Pub.,")</f>
        <v>Macmillan Technical Pub.,</v>
      </c>
      <c r="H603" t="str">
        <f t="shared" si="249"/>
        <v>圖書 book</v>
      </c>
      <c r="I603" t="str">
        <f>("TK5105.595 B512 1999")</f>
        <v>TK5105.595 B512 1999</v>
      </c>
      <c r="J603" t="str">
        <f>("1578700604")</f>
        <v>1578700604</v>
      </c>
      <c r="K603" t="str">
        <f>("1498")</f>
        <v>1498</v>
      </c>
      <c r="L603" t="str">
        <f t="shared" si="246"/>
        <v>2001/10/10 00:00:00</v>
      </c>
      <c r="M603" t="str">
        <f t="shared" si="251"/>
        <v>2018/08/11 13:34:35</v>
      </c>
      <c r="N603" t="str">
        <f>("1999")</f>
        <v>1999</v>
      </c>
      <c r="O603" t="str">
        <f t="shared" si="238"/>
        <v>4F西文書庫 4F Western Language Books</v>
      </c>
      <c r="P603" t="s">
        <v>64</v>
      </c>
      <c r="W603" t="str">
        <f t="shared" si="234"/>
        <v>美國國會圖書分類法</v>
      </c>
      <c r="Y603" t="str">
        <f>("TK5105.595")</f>
        <v>TK5105.595</v>
      </c>
      <c r="Z603" t="str">
        <f t="shared" si="252"/>
        <v>2018/08/11 13:34:35</v>
      </c>
      <c r="AA603" t="str">
        <f t="shared" si="243"/>
        <v>catc</v>
      </c>
      <c r="AC603" t="str">
        <f>("B512")</f>
        <v>B512</v>
      </c>
      <c r="AE603" t="str">
        <f t="shared" si="250"/>
        <v>c.1</v>
      </c>
      <c r="AF603" t="str">
        <f t="shared" si="241"/>
        <v>1.可借圖書</v>
      </c>
      <c r="AG603" t="str">
        <f t="shared" si="242"/>
        <v>在架</v>
      </c>
      <c r="AI603" t="s">
        <v>65</v>
      </c>
      <c r="AK603" t="str">
        <f t="shared" si="244"/>
        <v>一般(Normal)</v>
      </c>
      <c r="AO603" t="s">
        <v>65</v>
      </c>
      <c r="AS603" t="str">
        <f>("c1999 ")</f>
        <v xml:space="preserve">c1999 </v>
      </c>
      <c r="AT603" t="str">
        <f t="shared" si="245"/>
        <v>catc</v>
      </c>
    </row>
    <row r="604" spans="1:46" x14ac:dyDescent="0.25">
      <c r="A604">
        <v>593</v>
      </c>
      <c r="B604" t="str">
        <f>("289447")</f>
        <v>289447</v>
      </c>
      <c r="C604" t="str">
        <f>("W00002629")</f>
        <v>W00002629</v>
      </c>
      <c r="D604" t="str">
        <f>("Core python programming / ")</f>
        <v xml:space="preserve">Core python programming / </v>
      </c>
      <c r="E604" t="str">
        <f>("Chun, Wesley. ")</f>
        <v xml:space="preserve">Chun, Wesley. </v>
      </c>
      <c r="F604" t="str">
        <f>("Prentice Hall, ")</f>
        <v xml:space="preserve">Prentice Hall, </v>
      </c>
      <c r="H604" t="str">
        <f t="shared" si="249"/>
        <v>圖書 book</v>
      </c>
      <c r="I604" t="str">
        <f>("QA76.73.P98 C559 2001")</f>
        <v>QA76.73.P98 C559 2001</v>
      </c>
      <c r="J604" t="str">
        <f>("0130260363")</f>
        <v>0130260363</v>
      </c>
      <c r="K604" t="str">
        <f>("1256")</f>
        <v>1256</v>
      </c>
      <c r="L604" t="str">
        <f t="shared" si="246"/>
        <v>2001/10/10 00:00:00</v>
      </c>
      <c r="M604" t="str">
        <f t="shared" si="251"/>
        <v>2018/08/11 13:34:35</v>
      </c>
      <c r="N604" t="str">
        <f>("2001")</f>
        <v>2001</v>
      </c>
      <c r="O604" t="str">
        <f t="shared" si="238"/>
        <v>4F西文書庫 4F Western Language Books</v>
      </c>
      <c r="P604" t="s">
        <v>64</v>
      </c>
      <c r="W604" t="str">
        <f t="shared" si="234"/>
        <v>美國國會圖書分類法</v>
      </c>
      <c r="Y604" t="str">
        <f>("QA76.73.P98")</f>
        <v>QA76.73.P98</v>
      </c>
      <c r="Z604" t="str">
        <f t="shared" si="252"/>
        <v>2018/08/11 13:34:35</v>
      </c>
      <c r="AA604" t="str">
        <f t="shared" si="243"/>
        <v>catc</v>
      </c>
      <c r="AC604" t="str">
        <f>("C559")</f>
        <v>C559</v>
      </c>
      <c r="AE604" t="str">
        <f t="shared" si="250"/>
        <v>c.1</v>
      </c>
      <c r="AF604" t="str">
        <f t="shared" si="241"/>
        <v>1.可借圖書</v>
      </c>
      <c r="AG604" t="str">
        <f t="shared" si="242"/>
        <v>在架</v>
      </c>
      <c r="AI604" t="s">
        <v>65</v>
      </c>
      <c r="AK604" t="str">
        <f t="shared" si="244"/>
        <v>一般(Normal)</v>
      </c>
      <c r="AO604" t="s">
        <v>65</v>
      </c>
      <c r="AS604" t="str">
        <f>("2001. ")</f>
        <v xml:space="preserve">2001. </v>
      </c>
      <c r="AT604" t="str">
        <f t="shared" si="245"/>
        <v>catc</v>
      </c>
    </row>
    <row r="605" spans="1:46" x14ac:dyDescent="0.25">
      <c r="A605">
        <v>594</v>
      </c>
      <c r="B605" t="str">
        <f>("289432")</f>
        <v>289432</v>
      </c>
      <c r="C605" t="str">
        <f>("W00002630")</f>
        <v>W00002630</v>
      </c>
      <c r="D605" t="str">
        <f>("Complete Java 2 certification study guide /")</f>
        <v>Complete Java 2 certification study guide /</v>
      </c>
      <c r="E605" t="str">
        <f>("Roberts, Simon ")</f>
        <v xml:space="preserve">Roberts, Simon </v>
      </c>
      <c r="F605" t="str">
        <f>("SYBEX,")</f>
        <v>SYBEX,</v>
      </c>
      <c r="G605" t="str">
        <f>("2nd ed ")</f>
        <v xml:space="preserve">2nd ed </v>
      </c>
      <c r="H605" t="str">
        <f t="shared" si="249"/>
        <v>圖書 book</v>
      </c>
      <c r="I605" t="str">
        <f>("QA76.3 R643 2000")</f>
        <v>QA76.3 R643 2000</v>
      </c>
      <c r="J605" t="str">
        <f>("00782128254")</f>
        <v>00782128254</v>
      </c>
      <c r="K605" t="str">
        <f>("1400")</f>
        <v>1400</v>
      </c>
      <c r="L605" t="str">
        <f t="shared" si="246"/>
        <v>2001/10/10 00:00:00</v>
      </c>
      <c r="M605" t="str">
        <f t="shared" si="251"/>
        <v>2018/08/11 13:34:35</v>
      </c>
      <c r="N605" t="str">
        <f>("2000")</f>
        <v>2000</v>
      </c>
      <c r="O605" t="str">
        <f t="shared" si="238"/>
        <v>4F西文書庫 4F Western Language Books</v>
      </c>
      <c r="P605" t="s">
        <v>64</v>
      </c>
      <c r="W605" t="str">
        <f t="shared" si="234"/>
        <v>美國國會圖書分類法</v>
      </c>
      <c r="Y605" t="str">
        <f>("QA76.3")</f>
        <v>QA76.3</v>
      </c>
      <c r="Z605" t="str">
        <f t="shared" si="252"/>
        <v>2018/08/11 13:34:35</v>
      </c>
      <c r="AA605" t="str">
        <f t="shared" si="243"/>
        <v>catc</v>
      </c>
      <c r="AC605" t="str">
        <f>("R643")</f>
        <v>R643</v>
      </c>
      <c r="AE605" t="str">
        <f t="shared" si="250"/>
        <v>c.1</v>
      </c>
      <c r="AF605" t="str">
        <f t="shared" si="241"/>
        <v>1.可借圖書</v>
      </c>
      <c r="AG605" t="str">
        <f t="shared" si="242"/>
        <v>在架</v>
      </c>
      <c r="AI605" t="s">
        <v>65</v>
      </c>
      <c r="AK605" t="str">
        <f t="shared" si="244"/>
        <v>一般(Normal)</v>
      </c>
      <c r="AO605" t="s">
        <v>65</v>
      </c>
      <c r="AS605" t="str">
        <f>("C2000 ")</f>
        <v xml:space="preserve">C2000 </v>
      </c>
      <c r="AT605" t="str">
        <f t="shared" si="245"/>
        <v>catc</v>
      </c>
    </row>
    <row r="606" spans="1:46" x14ac:dyDescent="0.25">
      <c r="A606">
        <v>595</v>
      </c>
      <c r="B606" t="str">
        <f>("289433")</f>
        <v>289433</v>
      </c>
      <c r="C606" t="str">
        <f>("W00002631")</f>
        <v>W00002631</v>
      </c>
      <c r="D606" t="str">
        <f>("Java 2 :the complete reference /")</f>
        <v>Java 2 :the complete reference /</v>
      </c>
      <c r="E606" t="str">
        <f>("Schildt, Herbert ")</f>
        <v xml:space="preserve">Schildt, Herbert </v>
      </c>
      <c r="F606" t="str">
        <f>("Osborne/McGraw-Hill,")</f>
        <v>Osborne/McGraw-Hill,</v>
      </c>
      <c r="G606" t="str">
        <f>("4th ed ")</f>
        <v xml:space="preserve">4th ed </v>
      </c>
      <c r="H606" t="str">
        <f t="shared" si="249"/>
        <v>圖書 book</v>
      </c>
      <c r="I606" t="str">
        <f>("QA76.73.J38 S334-2 2001")</f>
        <v>QA76.73.J38 S334-2 2001</v>
      </c>
      <c r="J606" t="str">
        <f>("0072130849")</f>
        <v>0072130849</v>
      </c>
      <c r="K606" t="str">
        <f>("1120")</f>
        <v>1120</v>
      </c>
      <c r="L606" t="str">
        <f t="shared" si="246"/>
        <v>2001/10/10 00:00:00</v>
      </c>
      <c r="M606" t="str">
        <f t="shared" si="251"/>
        <v>2018/08/11 13:34:35</v>
      </c>
      <c r="N606" t="str">
        <f>("2001")</f>
        <v>2001</v>
      </c>
      <c r="O606" t="str">
        <f t="shared" si="238"/>
        <v>4F西文書庫 4F Western Language Books</v>
      </c>
      <c r="P606" t="s">
        <v>64</v>
      </c>
      <c r="W606" t="str">
        <f t="shared" si="234"/>
        <v>美國國會圖書分類法</v>
      </c>
      <c r="Y606" t="str">
        <f>("QA76.73.J38")</f>
        <v>QA76.73.J38</v>
      </c>
      <c r="Z606" t="str">
        <f t="shared" si="252"/>
        <v>2018/08/11 13:34:35</v>
      </c>
      <c r="AA606" t="str">
        <f t="shared" si="243"/>
        <v>catc</v>
      </c>
      <c r="AC606" t="str">
        <f>("S334-2")</f>
        <v>S334-2</v>
      </c>
      <c r="AE606" t="str">
        <f t="shared" si="250"/>
        <v>c.1</v>
      </c>
      <c r="AF606" t="str">
        <f t="shared" si="241"/>
        <v>1.可借圖書</v>
      </c>
      <c r="AG606" t="str">
        <f t="shared" si="242"/>
        <v>在架</v>
      </c>
      <c r="AI606" t="s">
        <v>65</v>
      </c>
      <c r="AK606" t="str">
        <f t="shared" si="244"/>
        <v>一般(Normal)</v>
      </c>
      <c r="AO606" t="s">
        <v>65</v>
      </c>
      <c r="AS606" t="str">
        <f>("c2001 ")</f>
        <v xml:space="preserve">c2001 </v>
      </c>
      <c r="AT606" t="str">
        <f t="shared" si="245"/>
        <v>catc</v>
      </c>
    </row>
    <row r="607" spans="1:46" x14ac:dyDescent="0.25">
      <c r="A607">
        <v>596</v>
      </c>
      <c r="B607" t="str">
        <f>("289434")</f>
        <v>289434</v>
      </c>
      <c r="C607" t="str">
        <f>("W00002632")</f>
        <v>W00002632</v>
      </c>
      <c r="D607" t="str">
        <f>("Small business solutions : E-commerce / ")</f>
        <v xml:space="preserve">Small business solutions : E-commerce / </v>
      </c>
      <c r="E607" t="str">
        <f>("Kienan, Brenda. ")</f>
        <v xml:space="preserve">Kienan, Brenda. </v>
      </c>
      <c r="F607" t="str">
        <f>("Microsoft Press, ")</f>
        <v xml:space="preserve">Microsoft Press, </v>
      </c>
      <c r="H607" t="str">
        <f t="shared" si="249"/>
        <v>圖書 book</v>
      </c>
      <c r="I607" t="str">
        <f>("HF5548.32 K47 2000")</f>
        <v>HF5548.32 K47 2000</v>
      </c>
      <c r="J607" t="str">
        <f>("0735608466")</f>
        <v>0735608466</v>
      </c>
      <c r="K607" t="str">
        <f>("840")</f>
        <v>840</v>
      </c>
      <c r="L607" t="str">
        <f t="shared" si="246"/>
        <v>2001/10/10 00:00:00</v>
      </c>
      <c r="M607" t="str">
        <f t="shared" si="251"/>
        <v>2018/08/11 13:34:35</v>
      </c>
      <c r="N607" t="str">
        <f>("2000")</f>
        <v>2000</v>
      </c>
      <c r="O607" t="str">
        <f t="shared" si="238"/>
        <v>4F西文書庫 4F Western Language Books</v>
      </c>
      <c r="P607" t="s">
        <v>64</v>
      </c>
      <c r="W607" t="str">
        <f t="shared" si="234"/>
        <v>美國國會圖書分類法</v>
      </c>
      <c r="Y607" t="str">
        <f>("HF5548.32")</f>
        <v>HF5548.32</v>
      </c>
      <c r="Z607" t="str">
        <f t="shared" si="252"/>
        <v>2018/08/11 13:34:35</v>
      </c>
      <c r="AA607" t="str">
        <f t="shared" si="243"/>
        <v>catc</v>
      </c>
      <c r="AC607" t="str">
        <f>("K47")</f>
        <v>K47</v>
      </c>
      <c r="AE607" t="str">
        <f t="shared" si="250"/>
        <v>c.1</v>
      </c>
      <c r="AF607" t="str">
        <f t="shared" si="241"/>
        <v>1.可借圖書</v>
      </c>
      <c r="AG607" t="str">
        <f t="shared" si="242"/>
        <v>在架</v>
      </c>
      <c r="AI607" t="s">
        <v>65</v>
      </c>
      <c r="AK607" t="str">
        <f t="shared" si="244"/>
        <v>一般(Normal)</v>
      </c>
      <c r="AO607" t="s">
        <v>65</v>
      </c>
      <c r="AS607" t="str">
        <f>("c2000. ")</f>
        <v xml:space="preserve">c2000. </v>
      </c>
      <c r="AT607" t="str">
        <f t="shared" si="245"/>
        <v>catc</v>
      </c>
    </row>
    <row r="608" spans="1:46" x14ac:dyDescent="0.25">
      <c r="A608">
        <v>597</v>
      </c>
      <c r="B608" t="str">
        <f>("289444")</f>
        <v>289444</v>
      </c>
      <c r="C608" t="str">
        <f>("W00002633")</f>
        <v>W00002633</v>
      </c>
      <c r="D608" t="str">
        <f>("Caldera OpenLinux system administration unleashed / ")</f>
        <v xml:space="preserve">Caldera OpenLinux system administration unleashed / </v>
      </c>
      <c r="E608" t="str">
        <f>("Schenk, Thomas.")</f>
        <v>Schenk, Thomas.</v>
      </c>
      <c r="F608" t="str">
        <f>("SAMS, ")</f>
        <v xml:space="preserve">SAMS, </v>
      </c>
      <c r="H608" t="str">
        <f t="shared" si="249"/>
        <v>圖書 book</v>
      </c>
      <c r="I608" t="str">
        <f>("QA76.76.O63 S324 2000 c.2")</f>
        <v>QA76.76.O63 S324 2000 c.2</v>
      </c>
      <c r="J608" t="str">
        <f>("0672317699")</f>
        <v>0672317699</v>
      </c>
      <c r="K608" t="str">
        <f>("1400")</f>
        <v>1400</v>
      </c>
      <c r="L608" t="str">
        <f t="shared" si="246"/>
        <v>2001/10/10 00:00:00</v>
      </c>
      <c r="M608" t="str">
        <f t="shared" si="251"/>
        <v>2018/08/11 13:34:35</v>
      </c>
      <c r="N608" t="str">
        <f>("2000")</f>
        <v>2000</v>
      </c>
      <c r="O608" t="str">
        <f>("罕用書庫1-洽櫃台填單 Upon-Request Collection1 fil")</f>
        <v>罕用書庫1-洽櫃台填單 Upon-Request Collection1 fil</v>
      </c>
      <c r="P608" t="s">
        <v>64</v>
      </c>
      <c r="S608" t="str">
        <f>("xxiii, 1120 p. : ")</f>
        <v xml:space="preserve">xxiii, 1120 p. : </v>
      </c>
      <c r="T608" t="str">
        <f>("ill. ; ")</f>
        <v xml:space="preserve">ill. ; </v>
      </c>
      <c r="U608" t="str">
        <f>("23 cm. + ")</f>
        <v xml:space="preserve">23 cm. + </v>
      </c>
      <c r="V608" t="str">
        <f>(" 1 computer optical disc (4 3/4 in.) ")</f>
        <v xml:space="preserve"> 1 computer optical disc (4 3/4 in.) </v>
      </c>
      <c r="W608" t="str">
        <f t="shared" si="234"/>
        <v>美國國會圖書分類法</v>
      </c>
      <c r="Y608" t="str">
        <f>("QA76.76.O63")</f>
        <v>QA76.76.O63</v>
      </c>
      <c r="Z608" t="str">
        <f>("2018/08/11 13:34:34")</f>
        <v>2018/08/11 13:34:34</v>
      </c>
      <c r="AA608" t="str">
        <f t="shared" si="243"/>
        <v>catc</v>
      </c>
      <c r="AC608" t="str">
        <f>("S324")</f>
        <v>S324</v>
      </c>
      <c r="AE608" t="str">
        <f>("c.2")</f>
        <v>c.2</v>
      </c>
      <c r="AF608" t="str">
        <f>("不流通")</f>
        <v>不流通</v>
      </c>
      <c r="AG608" t="str">
        <f>("報銷中")</f>
        <v>報銷中</v>
      </c>
      <c r="AI608" t="s">
        <v>65</v>
      </c>
      <c r="AK608" t="str">
        <f t="shared" si="244"/>
        <v>一般(Normal)</v>
      </c>
      <c r="AO608" t="s">
        <v>65</v>
      </c>
      <c r="AS608" t="str">
        <f>("c2000. ")</f>
        <v xml:space="preserve">c2000. </v>
      </c>
      <c r="AT608" t="str">
        <f t="shared" si="245"/>
        <v>catc</v>
      </c>
    </row>
    <row r="609" spans="1:46" x14ac:dyDescent="0.25">
      <c r="A609">
        <v>598</v>
      </c>
      <c r="B609" t="str">
        <f>("289435")</f>
        <v>289435</v>
      </c>
      <c r="C609" t="str">
        <f>("W00002634")</f>
        <v>W00002634</v>
      </c>
      <c r="D609" t="str">
        <f>("DB2 universal database for OS/390 : an introduction to DB2 for OS/390 version 7 / ")</f>
        <v xml:space="preserve">DB2 universal database for OS/390 : an introduction to DB2 for OS/390 version 7 / </v>
      </c>
      <c r="E609" t="str">
        <f>("Sloan, Sue ")</f>
        <v xml:space="preserve">Sloan, Sue </v>
      </c>
      <c r="F609" t="str">
        <f>("Prentice Hall, ")</f>
        <v xml:space="preserve">Prentice Hall, </v>
      </c>
      <c r="H609" t="str">
        <f t="shared" si="249"/>
        <v>圖書 book</v>
      </c>
      <c r="I609" t="str">
        <f>("QA76.9.D3 S634 2001")</f>
        <v>QA76.9.D3 S634 2001</v>
      </c>
      <c r="J609" t="str">
        <f>("013019848X;013019848X")</f>
        <v>013019848X;013019848X</v>
      </c>
      <c r="K609" t="str">
        <f>("1498")</f>
        <v>1498</v>
      </c>
      <c r="L609" t="str">
        <f t="shared" si="246"/>
        <v>2001/10/10 00:00:00</v>
      </c>
      <c r="M609" t="str">
        <f t="shared" si="251"/>
        <v>2018/08/11 13:34:35</v>
      </c>
      <c r="N609" t="str">
        <f>("2001")</f>
        <v>2001</v>
      </c>
      <c r="O609" t="str">
        <f t="shared" ref="O609:O640" si="253">("4F西文書庫 4F Western Language Books")</f>
        <v>4F西文書庫 4F Western Language Books</v>
      </c>
      <c r="P609" t="s">
        <v>64</v>
      </c>
      <c r="W609" t="str">
        <f t="shared" si="234"/>
        <v>美國國會圖書分類法</v>
      </c>
      <c r="Y609" t="str">
        <f>("QA76.9.D3")</f>
        <v>QA76.9.D3</v>
      </c>
      <c r="Z609" t="str">
        <f>("2018/08/11 13:34:35")</f>
        <v>2018/08/11 13:34:35</v>
      </c>
      <c r="AA609" t="str">
        <f t="shared" si="243"/>
        <v>catc</v>
      </c>
      <c r="AC609" t="str">
        <f>("S634")</f>
        <v>S634</v>
      </c>
      <c r="AE609" t="str">
        <f t="shared" ref="AE609:AE626" si="254">("c.1")</f>
        <v>c.1</v>
      </c>
      <c r="AF609" t="str">
        <f t="shared" ref="AF609:AF672" si="255">("1.可借圖書")</f>
        <v>1.可借圖書</v>
      </c>
      <c r="AG609" t="str">
        <f t="shared" ref="AG609:AG640" si="256">("在架")</f>
        <v>在架</v>
      </c>
      <c r="AI609" t="s">
        <v>65</v>
      </c>
      <c r="AK609" t="str">
        <f t="shared" si="244"/>
        <v>一般(Normal)</v>
      </c>
      <c r="AO609" t="s">
        <v>65</v>
      </c>
      <c r="AS609" t="str">
        <f>("2001. ")</f>
        <v xml:space="preserve">2001. </v>
      </c>
      <c r="AT609" t="str">
        <f t="shared" si="245"/>
        <v>catc</v>
      </c>
    </row>
    <row r="610" spans="1:46" x14ac:dyDescent="0.25">
      <c r="A610">
        <v>599</v>
      </c>
      <c r="B610" t="str">
        <f>("289436")</f>
        <v>289436</v>
      </c>
      <c r="C610" t="str">
        <f>("W00002635")</f>
        <v>W00002635</v>
      </c>
      <c r="D610" t="str">
        <f>("Database design /")</f>
        <v>Database design /</v>
      </c>
      <c r="E610" t="str">
        <f>("Stephens, Ryan K ")</f>
        <v xml:space="preserve">Stephens, Ryan K </v>
      </c>
      <c r="F610" t="str">
        <f>("Sams Pub.,")</f>
        <v>Sams Pub.,</v>
      </c>
      <c r="H610" t="str">
        <f t="shared" si="249"/>
        <v>圖書 book</v>
      </c>
      <c r="I610" t="str">
        <f>("QA76.9.D3 S832 2001")</f>
        <v>QA76.9.D3 S832 2001</v>
      </c>
      <c r="J610" t="str">
        <f>("0672317583")</f>
        <v>0672317583</v>
      </c>
      <c r="K610" t="str">
        <f>("1120")</f>
        <v>1120</v>
      </c>
      <c r="L610" t="str">
        <f t="shared" si="246"/>
        <v>2001/10/10 00:00:00</v>
      </c>
      <c r="M610" t="str">
        <f t="shared" si="251"/>
        <v>2018/08/11 13:34:35</v>
      </c>
      <c r="N610" t="str">
        <f>("2001")</f>
        <v>2001</v>
      </c>
      <c r="O610" t="str">
        <f t="shared" si="253"/>
        <v>4F西文書庫 4F Western Language Books</v>
      </c>
      <c r="P610" t="s">
        <v>64</v>
      </c>
      <c r="W610" t="str">
        <f t="shared" si="234"/>
        <v>美國國會圖書分類法</v>
      </c>
      <c r="Y610" t="str">
        <f>("QA76.9.D3")</f>
        <v>QA76.9.D3</v>
      </c>
      <c r="Z610" t="str">
        <f>("2018/08/11 13:34:35")</f>
        <v>2018/08/11 13:34:35</v>
      </c>
      <c r="AA610" t="str">
        <f t="shared" si="243"/>
        <v>catc</v>
      </c>
      <c r="AC610" t="str">
        <f>("S832")</f>
        <v>S832</v>
      </c>
      <c r="AE610" t="str">
        <f t="shared" si="254"/>
        <v>c.1</v>
      </c>
      <c r="AF610" t="str">
        <f t="shared" si="255"/>
        <v>1.可借圖書</v>
      </c>
      <c r="AG610" t="str">
        <f t="shared" si="256"/>
        <v>在架</v>
      </c>
      <c r="AI610" t="s">
        <v>65</v>
      </c>
      <c r="AK610" t="str">
        <f t="shared" si="244"/>
        <v>一般(Normal)</v>
      </c>
      <c r="AO610" t="s">
        <v>65</v>
      </c>
      <c r="AS610" t="str">
        <f>("c2001 ")</f>
        <v xml:space="preserve">c2001 </v>
      </c>
      <c r="AT610" t="str">
        <f t="shared" si="245"/>
        <v>catc</v>
      </c>
    </row>
    <row r="611" spans="1:46" x14ac:dyDescent="0.25">
      <c r="A611">
        <v>600</v>
      </c>
      <c r="B611" t="str">
        <f>("289437")</f>
        <v>289437</v>
      </c>
      <c r="C611" t="str">
        <f>("W00002636")</f>
        <v>W00002636</v>
      </c>
      <c r="D611" t="str">
        <f>("Developing secure applications with Visual Basic /")</f>
        <v>Developing secure applications with Visual Basic /</v>
      </c>
      <c r="E611" t="str">
        <f>("Chapman, Davis Howard ")</f>
        <v xml:space="preserve">Chapman, Davis Howard </v>
      </c>
      <c r="F611" t="str">
        <f>("Sams,")</f>
        <v>Sams,</v>
      </c>
      <c r="H611" t="str">
        <f t="shared" si="249"/>
        <v>圖書 book</v>
      </c>
      <c r="I611" t="str">
        <f>("QA76.73.B3 C465 2000")</f>
        <v>QA76.73.B3 C465 2000</v>
      </c>
      <c r="J611" t="str">
        <f>("0672318369")</f>
        <v>0672318369</v>
      </c>
      <c r="K611" t="str">
        <f>("984")</f>
        <v>984</v>
      </c>
      <c r="L611" t="str">
        <f t="shared" si="246"/>
        <v>2001/10/10 00:00:00</v>
      </c>
      <c r="M611" t="str">
        <f t="shared" si="251"/>
        <v>2018/08/11 13:34:35</v>
      </c>
      <c r="N611" t="str">
        <f>("2000")</f>
        <v>2000</v>
      </c>
      <c r="O611" t="str">
        <f t="shared" si="253"/>
        <v>4F西文書庫 4F Western Language Books</v>
      </c>
      <c r="P611" t="s">
        <v>64</v>
      </c>
      <c r="W611" t="str">
        <f t="shared" si="234"/>
        <v>美國國會圖書分類法</v>
      </c>
      <c r="Y611" t="str">
        <f>("QA76.73.B3")</f>
        <v>QA76.73.B3</v>
      </c>
      <c r="Z611" t="str">
        <f>("2018/08/11 13:34:35")</f>
        <v>2018/08/11 13:34:35</v>
      </c>
      <c r="AA611" t="str">
        <f t="shared" si="243"/>
        <v>catc</v>
      </c>
      <c r="AC611" t="str">
        <f>("C465")</f>
        <v>C465</v>
      </c>
      <c r="AE611" t="str">
        <f t="shared" si="254"/>
        <v>c.1</v>
      </c>
      <c r="AF611" t="str">
        <f t="shared" si="255"/>
        <v>1.可借圖書</v>
      </c>
      <c r="AG611" t="str">
        <f t="shared" si="256"/>
        <v>在架</v>
      </c>
      <c r="AI611" t="s">
        <v>65</v>
      </c>
      <c r="AK611" t="str">
        <f t="shared" si="244"/>
        <v>一般(Normal)</v>
      </c>
      <c r="AO611" t="s">
        <v>65</v>
      </c>
      <c r="AS611" t="str">
        <f>("c2000 ")</f>
        <v xml:space="preserve">c2000 </v>
      </c>
      <c r="AT611" t="str">
        <f t="shared" si="245"/>
        <v>catc</v>
      </c>
    </row>
    <row r="612" spans="1:46" x14ac:dyDescent="0.25">
      <c r="A612">
        <v>601</v>
      </c>
      <c r="B612" t="str">
        <f>("289438")</f>
        <v>289438</v>
      </c>
      <c r="C612" t="str">
        <f>("W00002637")</f>
        <v>W00002637</v>
      </c>
      <c r="D612" t="str">
        <f>("Math toolkit for real-time programming /")</f>
        <v>Math toolkit for real-time programming /</v>
      </c>
      <c r="E612" t="str">
        <f>("Crenshaw, Jack W ")</f>
        <v xml:space="preserve">Crenshaw, Jack W </v>
      </c>
      <c r="F612" t="str">
        <f>("CMP Books,")</f>
        <v>CMP Books,</v>
      </c>
      <c r="H612" t="str">
        <f t="shared" si="249"/>
        <v>圖書 book</v>
      </c>
      <c r="I612" t="str">
        <f>("QA76.54 C912 2000")</f>
        <v>QA76.54 C912 2000</v>
      </c>
      <c r="J612" t="str">
        <f>("1929629095")</f>
        <v>1929629095</v>
      </c>
      <c r="K612" t="str">
        <f>("1400")</f>
        <v>1400</v>
      </c>
      <c r="L612" t="str">
        <f t="shared" si="246"/>
        <v>2001/10/10 00:00:00</v>
      </c>
      <c r="M612" t="str">
        <f t="shared" ref="M612:M622" si="257">("2018/08/11 13:34:36")</f>
        <v>2018/08/11 13:34:36</v>
      </c>
      <c r="N612" t="str">
        <f>("2000")</f>
        <v>2000</v>
      </c>
      <c r="O612" t="str">
        <f t="shared" si="253"/>
        <v>4F西文書庫 4F Western Language Books</v>
      </c>
      <c r="P612" t="s">
        <v>64</v>
      </c>
      <c r="W612" t="str">
        <f t="shared" si="234"/>
        <v>美國國會圖書分類法</v>
      </c>
      <c r="Y612" t="str">
        <f>("QA76.54")</f>
        <v>QA76.54</v>
      </c>
      <c r="Z612" t="str">
        <f t="shared" ref="Z612:Z623" si="258">("2018/08/11 13:34:36")</f>
        <v>2018/08/11 13:34:36</v>
      </c>
      <c r="AA612" t="str">
        <f t="shared" si="243"/>
        <v>catc</v>
      </c>
      <c r="AC612" t="str">
        <f>("C912")</f>
        <v>C912</v>
      </c>
      <c r="AE612" t="str">
        <f t="shared" si="254"/>
        <v>c.1</v>
      </c>
      <c r="AF612" t="str">
        <f t="shared" si="255"/>
        <v>1.可借圖書</v>
      </c>
      <c r="AG612" t="str">
        <f t="shared" si="256"/>
        <v>在架</v>
      </c>
      <c r="AI612" t="s">
        <v>65</v>
      </c>
      <c r="AK612" t="str">
        <f t="shared" si="244"/>
        <v>一般(Normal)</v>
      </c>
      <c r="AO612" t="s">
        <v>65</v>
      </c>
      <c r="AS612" t="str">
        <f>("c2000 ")</f>
        <v xml:space="preserve">c2000 </v>
      </c>
      <c r="AT612" t="str">
        <f t="shared" si="245"/>
        <v>catc</v>
      </c>
    </row>
    <row r="613" spans="1:46" x14ac:dyDescent="0.25">
      <c r="A613">
        <v>602</v>
      </c>
      <c r="B613" t="str">
        <f>("289439")</f>
        <v>289439</v>
      </c>
      <c r="C613" t="str">
        <f>("W00002638")</f>
        <v>W00002638</v>
      </c>
      <c r="D613" t="str">
        <f>("Data warehouse project management /")</f>
        <v>Data warehouse project management /</v>
      </c>
      <c r="E613" t="str">
        <f>("Adelman, Sid ")</f>
        <v xml:space="preserve">Adelman, Sid </v>
      </c>
      <c r="F613" t="str">
        <f>("Addison-Wesley,")</f>
        <v>Addison-Wesley,</v>
      </c>
      <c r="H613" t="str">
        <f t="shared" si="249"/>
        <v>圖書 book</v>
      </c>
      <c r="I613" t="str">
        <f>("QA76.9.D37 A229 2000")</f>
        <v>QA76.9.D37 A229 2000</v>
      </c>
      <c r="J613" t="str">
        <f>("0201616351")</f>
        <v>0201616351</v>
      </c>
      <c r="K613" t="str">
        <f>("1120")</f>
        <v>1120</v>
      </c>
      <c r="L613" t="str">
        <f t="shared" si="246"/>
        <v>2001/10/10 00:00:00</v>
      </c>
      <c r="M613" t="str">
        <f t="shared" si="257"/>
        <v>2018/08/11 13:34:36</v>
      </c>
      <c r="N613" t="str">
        <f>("2000")</f>
        <v>2000</v>
      </c>
      <c r="O613" t="str">
        <f t="shared" si="253"/>
        <v>4F西文書庫 4F Western Language Books</v>
      </c>
      <c r="P613" t="s">
        <v>64</v>
      </c>
      <c r="W613" t="str">
        <f t="shared" si="234"/>
        <v>美國國會圖書分類法</v>
      </c>
      <c r="Y613" t="str">
        <f>("QA76.9.D37")</f>
        <v>QA76.9.D37</v>
      </c>
      <c r="Z613" t="str">
        <f t="shared" si="258"/>
        <v>2018/08/11 13:34:36</v>
      </c>
      <c r="AA613" t="str">
        <f t="shared" si="243"/>
        <v>catc</v>
      </c>
      <c r="AC613" t="str">
        <f>("A229")</f>
        <v>A229</v>
      </c>
      <c r="AE613" t="str">
        <f t="shared" si="254"/>
        <v>c.1</v>
      </c>
      <c r="AF613" t="str">
        <f t="shared" si="255"/>
        <v>1.可借圖書</v>
      </c>
      <c r="AG613" t="str">
        <f t="shared" si="256"/>
        <v>在架</v>
      </c>
      <c r="AI613" t="s">
        <v>65</v>
      </c>
      <c r="AK613" t="str">
        <f t="shared" si="244"/>
        <v>一般(Normal)</v>
      </c>
      <c r="AO613" t="s">
        <v>65</v>
      </c>
      <c r="AS613" t="str">
        <f>("2000 ")</f>
        <v xml:space="preserve">2000 </v>
      </c>
      <c r="AT613" t="str">
        <f t="shared" si="245"/>
        <v>catc</v>
      </c>
    </row>
    <row r="614" spans="1:46" x14ac:dyDescent="0.25">
      <c r="A614">
        <v>603</v>
      </c>
      <c r="B614" t="str">
        <f>("289440")</f>
        <v>289440</v>
      </c>
      <c r="C614" t="str">
        <f>("W00002639")</f>
        <v>W00002639</v>
      </c>
      <c r="D614" t="str">
        <f>("Internet complete ")</f>
        <v xml:space="preserve">Internet complete </v>
      </c>
      <c r="E614" t="str">
        <f>("")</f>
        <v/>
      </c>
      <c r="F614" t="str">
        <f>("SYBEX,")</f>
        <v>SYBEX,</v>
      </c>
      <c r="G614" t="str">
        <f>("2nd ed ")</f>
        <v xml:space="preserve">2nd ed </v>
      </c>
      <c r="H614" t="str">
        <f t="shared" si="249"/>
        <v>圖書 book</v>
      </c>
      <c r="I614" t="str">
        <f>("TK5105.875.I57 I61 2000")</f>
        <v>TK5105.875.I57 I61 2000</v>
      </c>
      <c r="J614" t="str">
        <f>("0782128130")</f>
        <v>0782128130</v>
      </c>
      <c r="K614" t="str">
        <f>("560")</f>
        <v>560</v>
      </c>
      <c r="L614" t="str">
        <f t="shared" si="246"/>
        <v>2001/10/10 00:00:00</v>
      </c>
      <c r="M614" t="str">
        <f t="shared" si="257"/>
        <v>2018/08/11 13:34:36</v>
      </c>
      <c r="N614" t="str">
        <f>("2000")</f>
        <v>2000</v>
      </c>
      <c r="O614" t="str">
        <f t="shared" si="253"/>
        <v>4F西文書庫 4F Western Language Books</v>
      </c>
      <c r="P614" t="s">
        <v>64</v>
      </c>
      <c r="W614" t="str">
        <f t="shared" si="234"/>
        <v>美國國會圖書分類法</v>
      </c>
      <c r="Y614" t="str">
        <f>("TK5105.875.I57")</f>
        <v>TK5105.875.I57</v>
      </c>
      <c r="Z614" t="str">
        <f t="shared" si="258"/>
        <v>2018/08/11 13:34:36</v>
      </c>
      <c r="AA614" t="str">
        <f t="shared" si="243"/>
        <v>catc</v>
      </c>
      <c r="AC614" t="str">
        <f>("I61")</f>
        <v>I61</v>
      </c>
      <c r="AE614" t="str">
        <f t="shared" si="254"/>
        <v>c.1</v>
      </c>
      <c r="AF614" t="str">
        <f t="shared" si="255"/>
        <v>1.可借圖書</v>
      </c>
      <c r="AG614" t="str">
        <f t="shared" si="256"/>
        <v>在架</v>
      </c>
      <c r="AI614" t="s">
        <v>65</v>
      </c>
      <c r="AK614" t="str">
        <f t="shared" si="244"/>
        <v>一般(Normal)</v>
      </c>
      <c r="AO614" t="s">
        <v>65</v>
      </c>
      <c r="AS614" t="str">
        <f>("c2000 ")</f>
        <v xml:space="preserve">c2000 </v>
      </c>
      <c r="AT614" t="str">
        <f t="shared" si="245"/>
        <v>catc</v>
      </c>
    </row>
    <row r="615" spans="1:46" x14ac:dyDescent="0.25">
      <c r="A615">
        <v>604</v>
      </c>
      <c r="B615" t="str">
        <f>("289461")</f>
        <v>289461</v>
      </c>
      <c r="C615" t="str">
        <f>("W00002640")</f>
        <v>W00002640</v>
      </c>
      <c r="D615" t="str">
        <f>("Component database systems / ")</f>
        <v xml:space="preserve">Component database systems / </v>
      </c>
      <c r="E615" t="str">
        <f>("Dittrich, Klaus R.")</f>
        <v>Dittrich, Klaus R.</v>
      </c>
      <c r="F615" t="str">
        <f>("Morgan Kaufmann Publishers, ")</f>
        <v xml:space="preserve">Morgan Kaufmann Publishers, </v>
      </c>
      <c r="H615" t="str">
        <f t="shared" si="249"/>
        <v>圖書 book</v>
      </c>
      <c r="I615" t="str">
        <f>("QA76.9.D3 D617 2001")</f>
        <v>QA76.9.D3 D617 2001</v>
      </c>
      <c r="J615" t="str">
        <f>("1558606424")</f>
        <v>1558606424</v>
      </c>
      <c r="K615" t="str">
        <f>("1320")</f>
        <v>1320</v>
      </c>
      <c r="L615" t="str">
        <f t="shared" si="246"/>
        <v>2001/10/10 00:00:00</v>
      </c>
      <c r="M615" t="str">
        <f t="shared" si="257"/>
        <v>2018/08/11 13:34:36</v>
      </c>
      <c r="N615" t="str">
        <f>("2001")</f>
        <v>2001</v>
      </c>
      <c r="O615" t="str">
        <f t="shared" si="253"/>
        <v>4F西文書庫 4F Western Language Books</v>
      </c>
      <c r="P615" t="s">
        <v>64</v>
      </c>
      <c r="S615" t="str">
        <f>("xvii, 294 p. : ")</f>
        <v xml:space="preserve">xvii, 294 p. : </v>
      </c>
      <c r="T615" t="str">
        <f>("ill. ; ")</f>
        <v xml:space="preserve">ill. ; </v>
      </c>
      <c r="U615" t="str">
        <f>("25 cm. ")</f>
        <v xml:space="preserve">25 cm. </v>
      </c>
      <c r="W615" t="str">
        <f t="shared" si="234"/>
        <v>美國國會圖書分類法</v>
      </c>
      <c r="Y615" t="str">
        <f>("QA76.9.D3")</f>
        <v>QA76.9.D3</v>
      </c>
      <c r="Z615" t="str">
        <f t="shared" si="258"/>
        <v>2018/08/11 13:34:36</v>
      </c>
      <c r="AA615" t="str">
        <f t="shared" si="243"/>
        <v>catc</v>
      </c>
      <c r="AC615" t="str">
        <f>("D617")</f>
        <v>D617</v>
      </c>
      <c r="AE615" t="str">
        <f t="shared" si="254"/>
        <v>c.1</v>
      </c>
      <c r="AF615" t="str">
        <f t="shared" si="255"/>
        <v>1.可借圖書</v>
      </c>
      <c r="AG615" t="str">
        <f t="shared" si="256"/>
        <v>在架</v>
      </c>
      <c r="AI615" t="s">
        <v>65</v>
      </c>
      <c r="AK615" t="str">
        <f t="shared" si="244"/>
        <v>一般(Normal)</v>
      </c>
      <c r="AO615" t="s">
        <v>65</v>
      </c>
      <c r="AS615" t="str">
        <f>("c2001. ")</f>
        <v xml:space="preserve">c2001. </v>
      </c>
      <c r="AT615" t="str">
        <f t="shared" si="245"/>
        <v>catc</v>
      </c>
    </row>
    <row r="616" spans="1:46" x14ac:dyDescent="0.25">
      <c r="A616">
        <v>605</v>
      </c>
      <c r="B616" t="str">
        <f>("289462")</f>
        <v>289462</v>
      </c>
      <c r="C616" t="str">
        <f>("W00002641")</f>
        <v>W00002641</v>
      </c>
      <c r="D616" t="str">
        <f>(" The rational unified process :  an introduction / ")</f>
        <v xml:space="preserve"> The rational unified process :  an introduction / </v>
      </c>
      <c r="E616" t="str">
        <f>(" Kruchten, Philippe. ")</f>
        <v xml:space="preserve"> Kruchten, Philippe. </v>
      </c>
      <c r="F616" t="str">
        <f>(" Addison-Wesley, ")</f>
        <v xml:space="preserve"> Addison-Wesley, </v>
      </c>
      <c r="G616" t="str">
        <f>(" 2nd ed. ")</f>
        <v xml:space="preserve"> 2nd ed. </v>
      </c>
      <c r="H616" t="str">
        <f t="shared" si="249"/>
        <v>圖書 book</v>
      </c>
      <c r="I616" t="str">
        <f>("QA76.76.D47 K94 2000")</f>
        <v>QA76.76.D47 K94 2000</v>
      </c>
      <c r="K616" t="str">
        <f>("928")</f>
        <v>928</v>
      </c>
      <c r="L616" t="str">
        <f t="shared" si="246"/>
        <v>2001/10/10 00:00:00</v>
      </c>
      <c r="M616" t="str">
        <f t="shared" si="257"/>
        <v>2018/08/11 13:34:36</v>
      </c>
      <c r="N616" t="str">
        <f>("2000")</f>
        <v>2000</v>
      </c>
      <c r="O616" t="str">
        <f t="shared" si="253"/>
        <v>4F西文書庫 4F Western Language Books</v>
      </c>
      <c r="P616" t="s">
        <v>64</v>
      </c>
      <c r="W616" t="str">
        <f t="shared" si="234"/>
        <v>美國國會圖書分類法</v>
      </c>
      <c r="Y616" t="str">
        <f>("QA76.76.D47")</f>
        <v>QA76.76.D47</v>
      </c>
      <c r="Z616" t="str">
        <f t="shared" si="258"/>
        <v>2018/08/11 13:34:36</v>
      </c>
      <c r="AA616" t="str">
        <f t="shared" si="243"/>
        <v>catc</v>
      </c>
      <c r="AC616" t="str">
        <f>("K94")</f>
        <v>K94</v>
      </c>
      <c r="AE616" t="str">
        <f t="shared" si="254"/>
        <v>c.1</v>
      </c>
      <c r="AF616" t="str">
        <f t="shared" si="255"/>
        <v>1.可借圖書</v>
      </c>
      <c r="AG616" t="str">
        <f t="shared" si="256"/>
        <v>在架</v>
      </c>
      <c r="AI616" t="s">
        <v>65</v>
      </c>
      <c r="AK616" t="str">
        <f t="shared" si="244"/>
        <v>一般(Normal)</v>
      </c>
      <c r="AO616" t="s">
        <v>65</v>
      </c>
      <c r="AS616" t="str">
        <f>(" 2000. ")</f>
        <v xml:space="preserve"> 2000. </v>
      </c>
      <c r="AT616" t="str">
        <f t="shared" si="245"/>
        <v>catc</v>
      </c>
    </row>
    <row r="617" spans="1:46" x14ac:dyDescent="0.25">
      <c r="A617">
        <v>606</v>
      </c>
      <c r="B617" t="str">
        <f>("289463")</f>
        <v>289463</v>
      </c>
      <c r="C617" t="str">
        <f>("W00002642")</f>
        <v>W00002642</v>
      </c>
      <c r="D617" t="str">
        <f>("The art of objects : object-oriented design and architecture / ")</f>
        <v xml:space="preserve">The art of objects : object-oriented design and architecture / </v>
      </c>
      <c r="E617" t="str">
        <f>("Lau, Yun-Tung. ")</f>
        <v xml:space="preserve">Lau, Yun-Tung. </v>
      </c>
      <c r="F617" t="str">
        <f>("Addison-Wesley, ")</f>
        <v xml:space="preserve">Addison-Wesley, </v>
      </c>
      <c r="H617" t="str">
        <f t="shared" si="249"/>
        <v>圖書 book</v>
      </c>
      <c r="I617" t="str">
        <f>("QA76.9.O35 L366 2001")</f>
        <v>QA76.9.O35 L366 2001</v>
      </c>
      <c r="J617" t="str">
        <f>("0201711613")</f>
        <v>0201711613</v>
      </c>
      <c r="K617" t="str">
        <f>("1120")</f>
        <v>1120</v>
      </c>
      <c r="L617" t="str">
        <f t="shared" si="246"/>
        <v>2001/10/10 00:00:00</v>
      </c>
      <c r="M617" t="str">
        <f t="shared" si="257"/>
        <v>2018/08/11 13:34:36</v>
      </c>
      <c r="N617" t="str">
        <f>("2001")</f>
        <v>2001</v>
      </c>
      <c r="O617" t="str">
        <f t="shared" si="253"/>
        <v>4F西文書庫 4F Western Language Books</v>
      </c>
      <c r="P617" t="s">
        <v>64</v>
      </c>
      <c r="S617" t="str">
        <f>("xv, 363 p. : ")</f>
        <v xml:space="preserve">xv, 363 p. : </v>
      </c>
      <c r="T617" t="str">
        <f>("ill. ; ")</f>
        <v xml:space="preserve">ill. ; </v>
      </c>
      <c r="U617" t="str">
        <f>("24 cm. ")</f>
        <v xml:space="preserve">24 cm. </v>
      </c>
      <c r="W617" t="str">
        <f t="shared" si="234"/>
        <v>美國國會圖書分類法</v>
      </c>
      <c r="Y617" t="str">
        <f>("QA76.9.O35")</f>
        <v>QA76.9.O35</v>
      </c>
      <c r="Z617" t="str">
        <f t="shared" si="258"/>
        <v>2018/08/11 13:34:36</v>
      </c>
      <c r="AA617" t="str">
        <f t="shared" si="243"/>
        <v>catc</v>
      </c>
      <c r="AC617" t="str">
        <f>("L366")</f>
        <v>L366</v>
      </c>
      <c r="AE617" t="str">
        <f t="shared" si="254"/>
        <v>c.1</v>
      </c>
      <c r="AF617" t="str">
        <f t="shared" si="255"/>
        <v>1.可借圖書</v>
      </c>
      <c r="AG617" t="str">
        <f t="shared" si="256"/>
        <v>在架</v>
      </c>
      <c r="AI617" t="s">
        <v>65</v>
      </c>
      <c r="AK617" t="str">
        <f t="shared" si="244"/>
        <v>一般(Normal)</v>
      </c>
      <c r="AO617" t="s">
        <v>65</v>
      </c>
      <c r="AS617" t="str">
        <f>("c2001. ")</f>
        <v xml:space="preserve">c2001. </v>
      </c>
      <c r="AT617" t="str">
        <f t="shared" si="245"/>
        <v>catc</v>
      </c>
    </row>
    <row r="618" spans="1:46" x14ac:dyDescent="0.25">
      <c r="A618">
        <v>607</v>
      </c>
      <c r="B618" t="str">
        <f>("289448")</f>
        <v>289448</v>
      </c>
      <c r="C618" t="str">
        <f>("W00002643")</f>
        <v>W00002643</v>
      </c>
      <c r="D618" t="str">
        <f>("Domino system administration / ")</f>
        <v xml:space="preserve">Domino system administration / </v>
      </c>
      <c r="E618" t="str">
        <f>("Kirkland, Rob. ")</f>
        <v xml:space="preserve">Kirkland, Rob. </v>
      </c>
      <c r="F618" t="str">
        <f>(" New Riders, ")</f>
        <v xml:space="preserve"> New Riders, </v>
      </c>
      <c r="H618" t="str">
        <f t="shared" si="249"/>
        <v>圖書 book</v>
      </c>
      <c r="I618" t="str">
        <f>("HF5548.4.L673 K59 2000")</f>
        <v>HF5548.4.L673 K59 2000</v>
      </c>
      <c r="J618" t="str">
        <f>("1562059483")</f>
        <v>1562059483</v>
      </c>
      <c r="K618" t="str">
        <f>("1400")</f>
        <v>1400</v>
      </c>
      <c r="L618" t="str">
        <f t="shared" si="246"/>
        <v>2001/10/10 00:00:00</v>
      </c>
      <c r="M618" t="str">
        <f t="shared" si="257"/>
        <v>2018/08/11 13:34:36</v>
      </c>
      <c r="N618" t="str">
        <f>("2000")</f>
        <v>2000</v>
      </c>
      <c r="O618" t="str">
        <f t="shared" si="253"/>
        <v>4F西文書庫 4F Western Language Books</v>
      </c>
      <c r="P618" t="s">
        <v>64</v>
      </c>
      <c r="W618" t="str">
        <f t="shared" si="234"/>
        <v>美國國會圖書分類法</v>
      </c>
      <c r="Y618" t="str">
        <f>("HF5548.4.L673")</f>
        <v>HF5548.4.L673</v>
      </c>
      <c r="Z618" t="str">
        <f t="shared" si="258"/>
        <v>2018/08/11 13:34:36</v>
      </c>
      <c r="AA618" t="str">
        <f t="shared" si="243"/>
        <v>catc</v>
      </c>
      <c r="AC618" t="str">
        <f>("K59")</f>
        <v>K59</v>
      </c>
      <c r="AE618" t="str">
        <f t="shared" si="254"/>
        <v>c.1</v>
      </c>
      <c r="AF618" t="str">
        <f t="shared" si="255"/>
        <v>1.可借圖書</v>
      </c>
      <c r="AG618" t="str">
        <f t="shared" si="256"/>
        <v>在架</v>
      </c>
      <c r="AI618" t="s">
        <v>65</v>
      </c>
      <c r="AK618" t="str">
        <f t="shared" si="244"/>
        <v>一般(Normal)</v>
      </c>
      <c r="AO618" t="s">
        <v>65</v>
      </c>
      <c r="AS618" t="str">
        <f>("c2000. ")</f>
        <v xml:space="preserve">c2000. </v>
      </c>
      <c r="AT618" t="str">
        <f t="shared" si="245"/>
        <v>catc</v>
      </c>
    </row>
    <row r="619" spans="1:46" x14ac:dyDescent="0.25">
      <c r="A619">
        <v>608</v>
      </c>
      <c r="B619" t="str">
        <f>("289449")</f>
        <v>289449</v>
      </c>
      <c r="C619" t="str">
        <f>("W00002644")</f>
        <v>W00002644</v>
      </c>
      <c r="D619" t="str">
        <f>("Software architecture for product families : principles and practice / ")</f>
        <v xml:space="preserve">Software architecture for product families : principles and practice / </v>
      </c>
      <c r="E619" t="str">
        <f>("Jazayeri, Mehdi. ")</f>
        <v xml:space="preserve">Jazayeri, Mehdi. </v>
      </c>
      <c r="F619" t="str">
        <f>("Addison-Wesley, ")</f>
        <v xml:space="preserve">Addison-Wesley, </v>
      </c>
      <c r="H619" t="str">
        <f t="shared" si="249"/>
        <v>圖書 book</v>
      </c>
      <c r="I619" t="str">
        <f>("QA76.76.A65 J65 2000")</f>
        <v>QA76.76.A65 J65 2000</v>
      </c>
      <c r="J619" t="str">
        <f>("0201699672")</f>
        <v>0201699672</v>
      </c>
      <c r="K619" t="str">
        <f>("1264")</f>
        <v>1264</v>
      </c>
      <c r="L619" t="str">
        <f t="shared" si="246"/>
        <v>2001/10/10 00:00:00</v>
      </c>
      <c r="M619" t="str">
        <f t="shared" si="257"/>
        <v>2018/08/11 13:34:36</v>
      </c>
      <c r="N619" t="str">
        <f>("2000")</f>
        <v>2000</v>
      </c>
      <c r="O619" t="str">
        <f t="shared" si="253"/>
        <v>4F西文書庫 4F Western Language Books</v>
      </c>
      <c r="P619" t="s">
        <v>64</v>
      </c>
      <c r="W619" t="str">
        <f t="shared" si="234"/>
        <v>美國國會圖書分類法</v>
      </c>
      <c r="Y619" t="str">
        <f>("QA76.76.A65")</f>
        <v>QA76.76.A65</v>
      </c>
      <c r="Z619" t="str">
        <f t="shared" si="258"/>
        <v>2018/08/11 13:34:36</v>
      </c>
      <c r="AA619" t="str">
        <f t="shared" si="243"/>
        <v>catc</v>
      </c>
      <c r="AC619" t="str">
        <f>("J65")</f>
        <v>J65</v>
      </c>
      <c r="AE619" t="str">
        <f t="shared" si="254"/>
        <v>c.1</v>
      </c>
      <c r="AF619" t="str">
        <f t="shared" si="255"/>
        <v>1.可借圖書</v>
      </c>
      <c r="AG619" t="str">
        <f t="shared" si="256"/>
        <v>在架</v>
      </c>
      <c r="AI619" t="s">
        <v>65</v>
      </c>
      <c r="AK619" t="str">
        <f t="shared" si="244"/>
        <v>一般(Normal)</v>
      </c>
      <c r="AO619" t="s">
        <v>65</v>
      </c>
      <c r="AS619" t="str">
        <f>("c2000. ")</f>
        <v xml:space="preserve">c2000. </v>
      </c>
      <c r="AT619" t="str">
        <f t="shared" si="245"/>
        <v>catc</v>
      </c>
    </row>
    <row r="620" spans="1:46" x14ac:dyDescent="0.25">
      <c r="A620">
        <v>609</v>
      </c>
      <c r="B620" t="str">
        <f>("289450")</f>
        <v>289450</v>
      </c>
      <c r="C620" t="str">
        <f>("W00002645")</f>
        <v>W00002645</v>
      </c>
      <c r="D620" t="str">
        <f>("Domino 5 Web programming with XML, Java, and JavaScript / ")</f>
        <v xml:space="preserve">Domino 5 Web programming with XML, Java, and JavaScript / </v>
      </c>
      <c r="E620" t="str">
        <f>("Tamura, Randall A. ")</f>
        <v xml:space="preserve">Tamura, Randall A. </v>
      </c>
      <c r="F620" t="str">
        <f>("Que Publishing, ")</f>
        <v xml:space="preserve">Que Publishing, </v>
      </c>
      <c r="H620" t="str">
        <f t="shared" si="249"/>
        <v>圖書 book</v>
      </c>
      <c r="I620" t="str">
        <f>("TK5105.888 T153 2000")</f>
        <v>TK5105.888 T153 2000</v>
      </c>
      <c r="J620" t="str">
        <f>("0789722755")</f>
        <v>0789722755</v>
      </c>
      <c r="K620" t="str">
        <f>("1400")</f>
        <v>1400</v>
      </c>
      <c r="L620" t="str">
        <f t="shared" si="246"/>
        <v>2001/10/10 00:00:00</v>
      </c>
      <c r="M620" t="str">
        <f t="shared" si="257"/>
        <v>2018/08/11 13:34:36</v>
      </c>
      <c r="N620" t="str">
        <f>("2000")</f>
        <v>2000</v>
      </c>
      <c r="O620" t="str">
        <f t="shared" si="253"/>
        <v>4F西文書庫 4F Western Language Books</v>
      </c>
      <c r="P620" t="s">
        <v>64</v>
      </c>
      <c r="W620" t="str">
        <f t="shared" si="234"/>
        <v>美國國會圖書分類法</v>
      </c>
      <c r="Y620" t="str">
        <f>("TK5105.888")</f>
        <v>TK5105.888</v>
      </c>
      <c r="Z620" t="str">
        <f t="shared" si="258"/>
        <v>2018/08/11 13:34:36</v>
      </c>
      <c r="AA620" t="str">
        <f t="shared" si="243"/>
        <v>catc</v>
      </c>
      <c r="AC620" t="str">
        <f>("T153")</f>
        <v>T153</v>
      </c>
      <c r="AE620" t="str">
        <f t="shared" si="254"/>
        <v>c.1</v>
      </c>
      <c r="AF620" t="str">
        <f t="shared" si="255"/>
        <v>1.可借圖書</v>
      </c>
      <c r="AG620" t="str">
        <f t="shared" si="256"/>
        <v>在架</v>
      </c>
      <c r="AI620" t="s">
        <v>65</v>
      </c>
      <c r="AK620" t="str">
        <f t="shared" si="244"/>
        <v>一般(Normal)</v>
      </c>
      <c r="AO620" t="s">
        <v>65</v>
      </c>
      <c r="AS620" t="str">
        <f>("c2000. ")</f>
        <v xml:space="preserve">c2000. </v>
      </c>
      <c r="AT620" t="str">
        <f t="shared" si="245"/>
        <v>catc</v>
      </c>
    </row>
    <row r="621" spans="1:46" x14ac:dyDescent="0.25">
      <c r="A621">
        <v>610</v>
      </c>
      <c r="B621" t="str">
        <f>("289451")</f>
        <v>289451</v>
      </c>
      <c r="C621" t="str">
        <f>("W00002646")</f>
        <v>W00002646</v>
      </c>
      <c r="D621" t="str">
        <f>("Data resource quality : turning bad habits into good practices / ")</f>
        <v xml:space="preserve">Data resource quality : turning bad habits into good practices / </v>
      </c>
      <c r="E621" t="str">
        <f>("Brackett, Michael H. ")</f>
        <v xml:space="preserve">Brackett, Michael H. </v>
      </c>
      <c r="F621" t="str">
        <f>("Addison-Wesley, ")</f>
        <v xml:space="preserve">Addison-Wesley, </v>
      </c>
      <c r="H621" t="str">
        <f t="shared" si="249"/>
        <v>圖書 book</v>
      </c>
      <c r="I621" t="str">
        <f>("QA76.9.D3 B797 2000")</f>
        <v>QA76.9.D3 B797 2000</v>
      </c>
      <c r="J621" t="str">
        <f>("0201713063")</f>
        <v>0201713063</v>
      </c>
      <c r="K621" t="str">
        <f>("1120")</f>
        <v>1120</v>
      </c>
      <c r="L621" t="str">
        <f t="shared" si="246"/>
        <v>2001/10/10 00:00:00</v>
      </c>
      <c r="M621" t="str">
        <f t="shared" si="257"/>
        <v>2018/08/11 13:34:36</v>
      </c>
      <c r="N621" t="str">
        <f>("2000")</f>
        <v>2000</v>
      </c>
      <c r="O621" t="str">
        <f t="shared" si="253"/>
        <v>4F西文書庫 4F Western Language Books</v>
      </c>
      <c r="P621" t="s">
        <v>64</v>
      </c>
      <c r="W621" t="str">
        <f t="shared" si="234"/>
        <v>美國國會圖書分類法</v>
      </c>
      <c r="Y621" t="str">
        <f>("QA76.9.D3")</f>
        <v>QA76.9.D3</v>
      </c>
      <c r="Z621" t="str">
        <f t="shared" si="258"/>
        <v>2018/08/11 13:34:36</v>
      </c>
      <c r="AA621" t="str">
        <f t="shared" si="243"/>
        <v>catc</v>
      </c>
      <c r="AC621" t="str">
        <f>("B797")</f>
        <v>B797</v>
      </c>
      <c r="AE621" t="str">
        <f t="shared" si="254"/>
        <v>c.1</v>
      </c>
      <c r="AF621" t="str">
        <f t="shared" si="255"/>
        <v>1.可借圖書</v>
      </c>
      <c r="AG621" t="str">
        <f t="shared" si="256"/>
        <v>在架</v>
      </c>
      <c r="AI621" t="s">
        <v>65</v>
      </c>
      <c r="AK621" t="str">
        <f t="shared" si="244"/>
        <v>一般(Normal)</v>
      </c>
      <c r="AO621" t="s">
        <v>65</v>
      </c>
      <c r="AS621" t="str">
        <f>("2000. ")</f>
        <v xml:space="preserve">2000. </v>
      </c>
      <c r="AT621" t="str">
        <f t="shared" si="245"/>
        <v>catc</v>
      </c>
    </row>
    <row r="622" spans="1:46" x14ac:dyDescent="0.25">
      <c r="A622">
        <v>611</v>
      </c>
      <c r="B622" t="str">
        <f>("289452")</f>
        <v>289452</v>
      </c>
      <c r="C622" t="str">
        <f>("W00002647")</f>
        <v>W00002647</v>
      </c>
      <c r="D622" t="str">
        <f>("PPP design,implementation,and debugging")</f>
        <v>PPP design,implementation,and debugging</v>
      </c>
      <c r="E622" t="str">
        <f>("Carlson, James. ")</f>
        <v xml:space="preserve">Carlson, James. </v>
      </c>
      <c r="F622" t="str">
        <f>("Addison-Wesley, ")</f>
        <v xml:space="preserve">Addison-Wesley, </v>
      </c>
      <c r="G622" t="str">
        <f>("2nd ed. ")</f>
        <v xml:space="preserve">2nd ed. </v>
      </c>
      <c r="H622" t="str">
        <f t="shared" si="249"/>
        <v>圖書 book</v>
      </c>
      <c r="I622" t="str">
        <f>("TK5105.582 C278 2000")</f>
        <v>TK5105.582 C278 2000</v>
      </c>
      <c r="J622" t="str">
        <f>("0201700530")</f>
        <v>0201700530</v>
      </c>
      <c r="K622" t="str">
        <f>("1120")</f>
        <v>1120</v>
      </c>
      <c r="L622" t="str">
        <f t="shared" si="246"/>
        <v>2001/10/10 00:00:00</v>
      </c>
      <c r="M622" t="str">
        <f t="shared" si="257"/>
        <v>2018/08/11 13:34:36</v>
      </c>
      <c r="N622" t="str">
        <f>("2000")</f>
        <v>2000</v>
      </c>
      <c r="O622" t="str">
        <f t="shared" si="253"/>
        <v>4F西文書庫 4F Western Language Books</v>
      </c>
      <c r="P622" t="s">
        <v>64</v>
      </c>
      <c r="S622" t="str">
        <f>("xiii, 400 p. : ")</f>
        <v xml:space="preserve">xiii, 400 p. : </v>
      </c>
      <c r="T622" t="str">
        <f>("ill. ; ")</f>
        <v xml:space="preserve">ill. ; </v>
      </c>
      <c r="U622" t="str">
        <f>("24 cm. + ")</f>
        <v xml:space="preserve">24 cm. + </v>
      </c>
      <c r="V622" t="str">
        <f>("1 computer optical disc (4 3/4 in.) ")</f>
        <v xml:space="preserve">1 computer optical disc (4 3/4 in.) </v>
      </c>
      <c r="W622" t="str">
        <f t="shared" si="234"/>
        <v>美國國會圖書分類法</v>
      </c>
      <c r="Y622" t="str">
        <f>("TK5105.582")</f>
        <v>TK5105.582</v>
      </c>
      <c r="Z622" t="str">
        <f t="shared" si="258"/>
        <v>2018/08/11 13:34:36</v>
      </c>
      <c r="AA622" t="str">
        <f t="shared" si="243"/>
        <v>catc</v>
      </c>
      <c r="AC622" t="str">
        <f>("C278")</f>
        <v>C278</v>
      </c>
      <c r="AE622" t="str">
        <f t="shared" si="254"/>
        <v>c.1</v>
      </c>
      <c r="AF622" t="str">
        <f t="shared" si="255"/>
        <v>1.可借圖書</v>
      </c>
      <c r="AG622" t="str">
        <f t="shared" si="256"/>
        <v>在架</v>
      </c>
      <c r="AI622" t="s">
        <v>65</v>
      </c>
      <c r="AK622" t="str">
        <f t="shared" si="244"/>
        <v>一般(Normal)</v>
      </c>
      <c r="AO622" t="s">
        <v>65</v>
      </c>
      <c r="AS622" t="str">
        <f>("c2000. ")</f>
        <v xml:space="preserve">c2000. </v>
      </c>
      <c r="AT622" t="str">
        <f t="shared" si="245"/>
        <v>catc</v>
      </c>
    </row>
    <row r="623" spans="1:46" x14ac:dyDescent="0.25">
      <c r="A623">
        <v>612</v>
      </c>
      <c r="B623" t="str">
        <f>("289453")</f>
        <v>289453</v>
      </c>
      <c r="C623" t="str">
        <f>("W00002648")</f>
        <v>W00002648</v>
      </c>
      <c r="D623" t="str">
        <f>("Building Linux clusters / ")</f>
        <v xml:space="preserve">Building Linux clusters / </v>
      </c>
      <c r="E623" t="str">
        <f>("Spector, David H. M. ")</f>
        <v xml:space="preserve">Spector, David H. M. </v>
      </c>
      <c r="F623" t="str">
        <f>("O'Reilly, ")</f>
        <v xml:space="preserve">O'Reilly, </v>
      </c>
      <c r="G623" t="str">
        <f>("1st ed. ")</f>
        <v xml:space="preserve">1st ed. </v>
      </c>
      <c r="H623" t="str">
        <f t="shared" si="249"/>
        <v>圖書 book</v>
      </c>
      <c r="I623" t="str">
        <f>("QA76.76.O63 S741 2001")</f>
        <v>QA76.76.O63 S741 2001</v>
      </c>
      <c r="J623" t="str">
        <f>("1565926250")</f>
        <v>1565926250</v>
      </c>
      <c r="K623" t="str">
        <f>("1264")</f>
        <v>1264</v>
      </c>
      <c r="L623" t="str">
        <f t="shared" si="246"/>
        <v>2001/10/10 00:00:00</v>
      </c>
      <c r="M623" t="str">
        <f t="shared" ref="M623:M632" si="259">("2018/08/11 13:34:37")</f>
        <v>2018/08/11 13:34:37</v>
      </c>
      <c r="N623" t="str">
        <f>("2001")</f>
        <v>2001</v>
      </c>
      <c r="O623" t="str">
        <f t="shared" si="253"/>
        <v>4F西文書庫 4F Western Language Books</v>
      </c>
      <c r="P623" t="s">
        <v>64</v>
      </c>
      <c r="W623" t="str">
        <f t="shared" si="234"/>
        <v>美國國會圖書分類法</v>
      </c>
      <c r="Y623" t="str">
        <f>("QA76.76.O63")</f>
        <v>QA76.76.O63</v>
      </c>
      <c r="Z623" t="str">
        <f t="shared" si="258"/>
        <v>2018/08/11 13:34:36</v>
      </c>
      <c r="AA623" t="str">
        <f t="shared" si="243"/>
        <v>catc</v>
      </c>
      <c r="AC623" t="str">
        <f>("S741")</f>
        <v>S741</v>
      </c>
      <c r="AE623" t="str">
        <f t="shared" si="254"/>
        <v>c.1</v>
      </c>
      <c r="AF623" t="str">
        <f t="shared" si="255"/>
        <v>1.可借圖書</v>
      </c>
      <c r="AG623" t="str">
        <f t="shared" si="256"/>
        <v>在架</v>
      </c>
      <c r="AI623" t="s">
        <v>65</v>
      </c>
      <c r="AK623" t="str">
        <f t="shared" si="244"/>
        <v>一般(Normal)</v>
      </c>
      <c r="AO623" t="s">
        <v>65</v>
      </c>
      <c r="AS623" t="str">
        <f>(" 2000. ")</f>
        <v xml:space="preserve"> 2000. </v>
      </c>
      <c r="AT623" t="str">
        <f t="shared" si="245"/>
        <v>catc</v>
      </c>
    </row>
    <row r="624" spans="1:46" x14ac:dyDescent="0.25">
      <c r="A624">
        <v>613</v>
      </c>
      <c r="B624" t="str">
        <f>("289454")</f>
        <v>289454</v>
      </c>
      <c r="C624" t="str">
        <f>("W00002649")</f>
        <v>W00002649</v>
      </c>
      <c r="D624" t="str">
        <f>("Designing network security / ")</f>
        <v xml:space="preserve">Designing network security / </v>
      </c>
      <c r="E624" t="str">
        <f>("Kaeo, Merike. ")</f>
        <v xml:space="preserve">Kaeo, Merike. </v>
      </c>
      <c r="F624" t="str">
        <f>("Macmillan Technical Pub., ")</f>
        <v xml:space="preserve">Macmillan Technical Pub., </v>
      </c>
      <c r="H624" t="str">
        <f t="shared" si="249"/>
        <v>圖書 book</v>
      </c>
      <c r="I624" t="str">
        <f>("TK5105.59 K11 1999")</f>
        <v>TK5105.59 K11 1999</v>
      </c>
      <c r="J624" t="str">
        <f>("1578700434")</f>
        <v>1578700434</v>
      </c>
      <c r="K624" t="str">
        <f>("1400")</f>
        <v>1400</v>
      </c>
      <c r="L624" t="str">
        <f t="shared" si="246"/>
        <v>2001/10/10 00:00:00</v>
      </c>
      <c r="M624" t="str">
        <f t="shared" si="259"/>
        <v>2018/08/11 13:34:37</v>
      </c>
      <c r="N624" t="str">
        <f>("1999")</f>
        <v>1999</v>
      </c>
      <c r="O624" t="str">
        <f t="shared" si="253"/>
        <v>4F西文書庫 4F Western Language Books</v>
      </c>
      <c r="P624" t="s">
        <v>64</v>
      </c>
      <c r="W624" t="str">
        <f t="shared" si="234"/>
        <v>美國國會圖書分類法</v>
      </c>
      <c r="Y624" t="str">
        <f>("TK5105.59")</f>
        <v>TK5105.59</v>
      </c>
      <c r="Z624" t="str">
        <f t="shared" ref="Z624:Z633" si="260">("2018/08/11 13:34:37")</f>
        <v>2018/08/11 13:34:37</v>
      </c>
      <c r="AA624" t="str">
        <f t="shared" si="243"/>
        <v>catc</v>
      </c>
      <c r="AC624" t="str">
        <f>("K11")</f>
        <v>K11</v>
      </c>
      <c r="AE624" t="str">
        <f t="shared" si="254"/>
        <v>c.1</v>
      </c>
      <c r="AF624" t="str">
        <f t="shared" si="255"/>
        <v>1.可借圖書</v>
      </c>
      <c r="AG624" t="str">
        <f t="shared" si="256"/>
        <v>在架</v>
      </c>
      <c r="AI624" t="s">
        <v>65</v>
      </c>
      <c r="AK624" t="str">
        <f t="shared" si="244"/>
        <v>一般(Normal)</v>
      </c>
      <c r="AO624" t="s">
        <v>65</v>
      </c>
      <c r="AS624" t="str">
        <f>("c1999. ")</f>
        <v xml:space="preserve">c1999. </v>
      </c>
      <c r="AT624" t="str">
        <f t="shared" si="245"/>
        <v>catc</v>
      </c>
    </row>
    <row r="625" spans="1:46" x14ac:dyDescent="0.25">
      <c r="A625">
        <v>614</v>
      </c>
      <c r="B625" t="str">
        <f>("289455")</f>
        <v>289455</v>
      </c>
      <c r="C625" t="str">
        <f>("W00002650")</f>
        <v>W00002650</v>
      </c>
      <c r="D625" t="str">
        <f>("Digital lighting &amp; rendering / ")</f>
        <v xml:space="preserve">Digital lighting &amp; rendering / </v>
      </c>
      <c r="E625" t="str">
        <f>("Birn, Jeremy. ")</f>
        <v xml:space="preserve">Birn, Jeremy. </v>
      </c>
      <c r="F625" t="str">
        <f>("New Riders, ")</f>
        <v xml:space="preserve">New Riders, </v>
      </c>
      <c r="H625" t="str">
        <f t="shared" si="249"/>
        <v>圖書 book</v>
      </c>
      <c r="I625" t="str">
        <f>("T385 B617 2000")</f>
        <v>T385 B617 2000</v>
      </c>
      <c r="J625" t="str">
        <f>("1562059548")</f>
        <v>1562059548</v>
      </c>
      <c r="K625" t="str">
        <f>("1400")</f>
        <v>1400</v>
      </c>
      <c r="L625" t="str">
        <f t="shared" si="246"/>
        <v>2001/10/10 00:00:00</v>
      </c>
      <c r="M625" t="str">
        <f t="shared" si="259"/>
        <v>2018/08/11 13:34:37</v>
      </c>
      <c r="N625" t="str">
        <f>("2000")</f>
        <v>2000</v>
      </c>
      <c r="O625" t="str">
        <f t="shared" si="253"/>
        <v>4F西文書庫 4F Western Language Books</v>
      </c>
      <c r="P625" t="s">
        <v>64</v>
      </c>
      <c r="W625" t="str">
        <f t="shared" si="234"/>
        <v>美國國會圖書分類法</v>
      </c>
      <c r="Y625" t="str">
        <f>("T385")</f>
        <v>T385</v>
      </c>
      <c r="Z625" t="str">
        <f t="shared" si="260"/>
        <v>2018/08/11 13:34:37</v>
      </c>
      <c r="AA625" t="str">
        <f t="shared" si="243"/>
        <v>catc</v>
      </c>
      <c r="AC625" t="str">
        <f>("B617")</f>
        <v>B617</v>
      </c>
      <c r="AE625" t="str">
        <f t="shared" si="254"/>
        <v>c.1</v>
      </c>
      <c r="AF625" t="str">
        <f t="shared" si="255"/>
        <v>1.可借圖書</v>
      </c>
      <c r="AG625" t="str">
        <f t="shared" si="256"/>
        <v>在架</v>
      </c>
      <c r="AI625" t="s">
        <v>65</v>
      </c>
      <c r="AK625" t="str">
        <f t="shared" si="244"/>
        <v>一般(Normal)</v>
      </c>
      <c r="AO625" t="s">
        <v>65</v>
      </c>
      <c r="AS625" t="str">
        <f>("c2000. ")</f>
        <v xml:space="preserve">c2000. </v>
      </c>
      <c r="AT625" t="str">
        <f t="shared" si="245"/>
        <v>catc</v>
      </c>
    </row>
    <row r="626" spans="1:46" x14ac:dyDescent="0.25">
      <c r="A626">
        <v>615</v>
      </c>
      <c r="B626" t="str">
        <f>("289456")</f>
        <v>289456</v>
      </c>
      <c r="C626" t="str">
        <f>("W00002651")</f>
        <v>W00002651</v>
      </c>
      <c r="D626" t="str">
        <f>("Debugging ASP : troubleshooting for programmers / ")</f>
        <v xml:space="preserve">Debugging ASP : troubleshooting for programmers / </v>
      </c>
      <c r="E626" t="str">
        <f>("Ferguson, Derek. ")</f>
        <v xml:space="preserve">Ferguson, Derek. </v>
      </c>
      <c r="F626" t="str">
        <f>("Osborne, ")</f>
        <v xml:space="preserve">Osborne, </v>
      </c>
      <c r="H626" t="str">
        <f t="shared" si="249"/>
        <v>圖書 book</v>
      </c>
      <c r="I626" t="str">
        <f>("QA76.625 F353 2000")</f>
        <v>QA76.625 F353 2000</v>
      </c>
      <c r="J626" t="str">
        <f>("0072125394")</f>
        <v>0072125394</v>
      </c>
      <c r="K626" t="str">
        <f>("1120")</f>
        <v>1120</v>
      </c>
      <c r="L626" t="str">
        <f t="shared" si="246"/>
        <v>2001/10/10 00:00:00</v>
      </c>
      <c r="M626" t="str">
        <f t="shared" si="259"/>
        <v>2018/08/11 13:34:37</v>
      </c>
      <c r="N626" t="str">
        <f>("2000")</f>
        <v>2000</v>
      </c>
      <c r="O626" t="str">
        <f t="shared" si="253"/>
        <v>4F西文書庫 4F Western Language Books</v>
      </c>
      <c r="P626" t="s">
        <v>64</v>
      </c>
      <c r="W626" t="str">
        <f t="shared" si="234"/>
        <v>美國國會圖書分類法</v>
      </c>
      <c r="Y626" t="str">
        <f>("QA76.625")</f>
        <v>QA76.625</v>
      </c>
      <c r="Z626" t="str">
        <f t="shared" si="260"/>
        <v>2018/08/11 13:34:37</v>
      </c>
      <c r="AA626" t="str">
        <f t="shared" si="243"/>
        <v>catc</v>
      </c>
      <c r="AC626" t="str">
        <f>("F353")</f>
        <v>F353</v>
      </c>
      <c r="AE626" t="str">
        <f t="shared" si="254"/>
        <v>c.1</v>
      </c>
      <c r="AF626" t="str">
        <f t="shared" si="255"/>
        <v>1.可借圖書</v>
      </c>
      <c r="AG626" t="str">
        <f t="shared" si="256"/>
        <v>在架</v>
      </c>
      <c r="AI626" t="s">
        <v>65</v>
      </c>
      <c r="AK626" t="str">
        <f t="shared" si="244"/>
        <v>一般(Normal)</v>
      </c>
      <c r="AO626" t="s">
        <v>65</v>
      </c>
      <c r="AS626" t="str">
        <f>("2000. ")</f>
        <v xml:space="preserve">2000. </v>
      </c>
      <c r="AT626" t="str">
        <f t="shared" si="245"/>
        <v>catc</v>
      </c>
    </row>
    <row r="627" spans="1:46" x14ac:dyDescent="0.25">
      <c r="A627">
        <v>616</v>
      </c>
      <c r="B627" t="str">
        <f>("289457")</f>
        <v>289457</v>
      </c>
      <c r="C627" t="str">
        <f>("W00002652")</f>
        <v>W00002652</v>
      </c>
      <c r="D627" t="str">
        <f>("Use cases : requirements in context / ")</f>
        <v xml:space="preserve">Use cases : requirements in context / </v>
      </c>
      <c r="E627" t="str">
        <f>("Kulak, Daryl, 1963- ")</f>
        <v xml:space="preserve">Kulak, Daryl, 1963- </v>
      </c>
      <c r="F627" t="str">
        <f>("Addison-Wesley, ")</f>
        <v xml:space="preserve">Addison-Wesley, </v>
      </c>
      <c r="H627" t="str">
        <f t="shared" si="249"/>
        <v>圖書 book</v>
      </c>
      <c r="I627" t="str">
        <f>("QA76.9.S88 K96 2000 c.2")</f>
        <v>QA76.9.S88 K96 2000 c.2</v>
      </c>
      <c r="J627" t="str">
        <f>("0201657678")</f>
        <v>0201657678</v>
      </c>
      <c r="K627" t="str">
        <f>("984")</f>
        <v>984</v>
      </c>
      <c r="L627" t="str">
        <f t="shared" si="246"/>
        <v>2001/10/10 00:00:00</v>
      </c>
      <c r="M627" t="str">
        <f t="shared" si="259"/>
        <v>2018/08/11 13:34:37</v>
      </c>
      <c r="N627" t="str">
        <f>("2000")</f>
        <v>2000</v>
      </c>
      <c r="O627" t="str">
        <f t="shared" si="253"/>
        <v>4F西文書庫 4F Western Language Books</v>
      </c>
      <c r="P627" t="s">
        <v>64</v>
      </c>
      <c r="W627" t="str">
        <f t="shared" si="234"/>
        <v>美國國會圖書分類法</v>
      </c>
      <c r="Y627" t="str">
        <f>("QA76.9.S88")</f>
        <v>QA76.9.S88</v>
      </c>
      <c r="Z627" t="str">
        <f t="shared" si="260"/>
        <v>2018/08/11 13:34:37</v>
      </c>
      <c r="AA627" t="str">
        <f t="shared" si="243"/>
        <v>catc</v>
      </c>
      <c r="AC627" t="str">
        <f>("K96")</f>
        <v>K96</v>
      </c>
      <c r="AE627" t="str">
        <f>("c.2")</f>
        <v>c.2</v>
      </c>
      <c r="AF627" t="str">
        <f t="shared" si="255"/>
        <v>1.可借圖書</v>
      </c>
      <c r="AG627" t="str">
        <f t="shared" si="256"/>
        <v>在架</v>
      </c>
      <c r="AI627" t="s">
        <v>65</v>
      </c>
      <c r="AK627" t="str">
        <f t="shared" si="244"/>
        <v>一般(Normal)</v>
      </c>
      <c r="AO627" t="s">
        <v>65</v>
      </c>
      <c r="AS627" t="str">
        <f>("2000. ")</f>
        <v xml:space="preserve">2000. </v>
      </c>
      <c r="AT627" t="str">
        <f t="shared" si="245"/>
        <v>catc</v>
      </c>
    </row>
    <row r="628" spans="1:46" x14ac:dyDescent="0.25">
      <c r="A628">
        <v>617</v>
      </c>
      <c r="B628" t="str">
        <f>("289458")</f>
        <v>289458</v>
      </c>
      <c r="C628" t="str">
        <f>("W00002653")</f>
        <v>W00002653</v>
      </c>
      <c r="D628" t="str">
        <f>("Developing IP multicast networks / ")</f>
        <v xml:space="preserve">Developing IP multicast networks / </v>
      </c>
      <c r="E628" t="str">
        <f>("Williamson, Beau. ")</f>
        <v xml:space="preserve">Williamson, Beau. </v>
      </c>
      <c r="F628" t="str">
        <f>("Cisco Press, ")</f>
        <v xml:space="preserve">Cisco Press, </v>
      </c>
      <c r="H628" t="str">
        <f t="shared" si="249"/>
        <v>圖書 book</v>
      </c>
      <c r="I628" t="str">
        <f>("TK5105.887 W729 1999")</f>
        <v>TK5105.887 W729 1999</v>
      </c>
      <c r="J628" t="str">
        <f>("1578700779")</f>
        <v>1578700779</v>
      </c>
      <c r="K628" t="str">
        <f>("1498")</f>
        <v>1498</v>
      </c>
      <c r="L628" t="str">
        <f t="shared" si="246"/>
        <v>2001/10/10 00:00:00</v>
      </c>
      <c r="M628" t="str">
        <f t="shared" si="259"/>
        <v>2018/08/11 13:34:37</v>
      </c>
      <c r="N628" t="str">
        <f>("1999")</f>
        <v>1999</v>
      </c>
      <c r="O628" t="str">
        <f t="shared" si="253"/>
        <v>4F西文書庫 4F Western Language Books</v>
      </c>
      <c r="P628" t="s">
        <v>64</v>
      </c>
      <c r="W628" t="str">
        <f t="shared" si="234"/>
        <v>美國國會圖書分類法</v>
      </c>
      <c r="Y628" t="str">
        <f>("TK5105.887")</f>
        <v>TK5105.887</v>
      </c>
      <c r="Z628" t="str">
        <f t="shared" si="260"/>
        <v>2018/08/11 13:34:37</v>
      </c>
      <c r="AA628" t="str">
        <f t="shared" si="243"/>
        <v>catc</v>
      </c>
      <c r="AC628" t="str">
        <f>("W729")</f>
        <v>W729</v>
      </c>
      <c r="AE628" t="str">
        <f t="shared" ref="AE628:AE659" si="261">("c.1")</f>
        <v>c.1</v>
      </c>
      <c r="AF628" t="str">
        <f t="shared" si="255"/>
        <v>1.可借圖書</v>
      </c>
      <c r="AG628" t="str">
        <f t="shared" si="256"/>
        <v>在架</v>
      </c>
      <c r="AI628" t="s">
        <v>65</v>
      </c>
      <c r="AK628" t="str">
        <f t="shared" si="244"/>
        <v>一般(Normal)</v>
      </c>
      <c r="AO628" t="s">
        <v>65</v>
      </c>
      <c r="AS628" t="str">
        <f>("1999- ")</f>
        <v xml:space="preserve">1999- </v>
      </c>
      <c r="AT628" t="str">
        <f t="shared" si="245"/>
        <v>catc</v>
      </c>
    </row>
    <row r="629" spans="1:46" x14ac:dyDescent="0.25">
      <c r="A629">
        <v>618</v>
      </c>
      <c r="B629" t="str">
        <f>("289459")</f>
        <v>289459</v>
      </c>
      <c r="C629" t="str">
        <f>("W00002654")</f>
        <v>W00002654</v>
      </c>
      <c r="D629" t="str">
        <f>("The Jini specifications / ")</f>
        <v xml:space="preserve">The Jini specifications / </v>
      </c>
      <c r="E629" t="str">
        <f>("Waldo, Jim ")</f>
        <v xml:space="preserve">Waldo, Jim </v>
      </c>
      <c r="F629" t="str">
        <f>(" Addison-Wesley, ")</f>
        <v xml:space="preserve"> Addison-Wesley, </v>
      </c>
      <c r="G629" t="str">
        <f>("2nd ed. ")</f>
        <v xml:space="preserve">2nd ed. </v>
      </c>
      <c r="H629" t="str">
        <f t="shared" si="249"/>
        <v>圖書 book</v>
      </c>
      <c r="I629" t="str">
        <f>("QA76.9.D5 W165 2001")</f>
        <v>QA76.9.D5 W165 2001</v>
      </c>
      <c r="J629" t="str">
        <f>("0201726173")</f>
        <v>0201726173</v>
      </c>
      <c r="K629" t="str">
        <f>("1120")</f>
        <v>1120</v>
      </c>
      <c r="L629" t="str">
        <f t="shared" si="246"/>
        <v>2001/10/10 00:00:00</v>
      </c>
      <c r="M629" t="str">
        <f t="shared" si="259"/>
        <v>2018/08/11 13:34:37</v>
      </c>
      <c r="N629" t="str">
        <f>("2001")</f>
        <v>2001</v>
      </c>
      <c r="O629" t="str">
        <f t="shared" si="253"/>
        <v>4F西文書庫 4F Western Language Books</v>
      </c>
      <c r="P629" t="s">
        <v>64</v>
      </c>
      <c r="S629" t="str">
        <f>("xxvii, 645 p. : ")</f>
        <v xml:space="preserve">xxvii, 645 p. : </v>
      </c>
      <c r="T629" t="str">
        <f>(" ill. ; ")</f>
        <v xml:space="preserve"> ill. ; </v>
      </c>
      <c r="U629" t="str">
        <f>(" 24 cm. ")</f>
        <v xml:space="preserve"> 24 cm. </v>
      </c>
      <c r="W629" t="str">
        <f t="shared" ref="W629:W692" si="262">("美國國會圖書分類法")</f>
        <v>美國國會圖書分類法</v>
      </c>
      <c r="Y629" t="str">
        <f>("QA76.9.D5")</f>
        <v>QA76.9.D5</v>
      </c>
      <c r="Z629" t="str">
        <f t="shared" si="260"/>
        <v>2018/08/11 13:34:37</v>
      </c>
      <c r="AA629" t="str">
        <f t="shared" si="243"/>
        <v>catc</v>
      </c>
      <c r="AC629" t="str">
        <f>("W165")</f>
        <v>W165</v>
      </c>
      <c r="AE629" t="str">
        <f t="shared" si="261"/>
        <v>c.1</v>
      </c>
      <c r="AF629" t="str">
        <f t="shared" si="255"/>
        <v>1.可借圖書</v>
      </c>
      <c r="AG629" t="str">
        <f t="shared" si="256"/>
        <v>在架</v>
      </c>
      <c r="AI629" t="s">
        <v>65</v>
      </c>
      <c r="AK629" t="str">
        <f t="shared" si="244"/>
        <v>一般(Normal)</v>
      </c>
      <c r="AO629" t="s">
        <v>65</v>
      </c>
      <c r="AS629" t="str">
        <f>(" 2001. ")</f>
        <v xml:space="preserve"> 2001. </v>
      </c>
      <c r="AT629" t="str">
        <f t="shared" si="245"/>
        <v>catc</v>
      </c>
    </row>
    <row r="630" spans="1:46" x14ac:dyDescent="0.25">
      <c r="A630">
        <v>619</v>
      </c>
      <c r="B630" t="str">
        <f>("289460")</f>
        <v>289460</v>
      </c>
      <c r="C630" t="str">
        <f>("W00002655")</f>
        <v>W00002655</v>
      </c>
      <c r="D630" t="str">
        <f>("Building Internet Firewalls : Internet and Web security / ")</f>
        <v xml:space="preserve">Building Internet Firewalls : Internet and Web security / </v>
      </c>
      <c r="E630" t="str">
        <f>("Zwicky, Elizabeth D. ")</f>
        <v xml:space="preserve">Zwicky, Elizabeth D. </v>
      </c>
      <c r="F630" t="str">
        <f>("O'Reilly, ")</f>
        <v xml:space="preserve">O'Reilly, </v>
      </c>
      <c r="G630" t="str">
        <f>("2nd ed. ")</f>
        <v xml:space="preserve">2nd ed. </v>
      </c>
      <c r="H630" t="str">
        <f t="shared" si="249"/>
        <v>圖書 book</v>
      </c>
      <c r="I630" t="str">
        <f>("TK5105.59 Z98 2000")</f>
        <v>TK5105.59 Z98 2000</v>
      </c>
      <c r="J630" t="str">
        <f>("1565928717")</f>
        <v>1565928717</v>
      </c>
      <c r="K630" t="str">
        <f>("1264")</f>
        <v>1264</v>
      </c>
      <c r="L630" t="str">
        <f t="shared" si="246"/>
        <v>2001/10/10 00:00:00</v>
      </c>
      <c r="M630" t="str">
        <f t="shared" si="259"/>
        <v>2018/08/11 13:34:37</v>
      </c>
      <c r="N630" t="str">
        <f>("2000")</f>
        <v>2000</v>
      </c>
      <c r="O630" t="str">
        <f t="shared" si="253"/>
        <v>4F西文書庫 4F Western Language Books</v>
      </c>
      <c r="P630" t="s">
        <v>64</v>
      </c>
      <c r="W630" t="str">
        <f t="shared" si="262"/>
        <v>美國國會圖書分類法</v>
      </c>
      <c r="Y630" t="str">
        <f>("TK5105.59")</f>
        <v>TK5105.59</v>
      </c>
      <c r="Z630" t="str">
        <f t="shared" si="260"/>
        <v>2018/08/11 13:34:37</v>
      </c>
      <c r="AA630" t="str">
        <f t="shared" si="243"/>
        <v>catc</v>
      </c>
      <c r="AC630" t="str">
        <f>("Z98")</f>
        <v>Z98</v>
      </c>
      <c r="AE630" t="str">
        <f t="shared" si="261"/>
        <v>c.1</v>
      </c>
      <c r="AF630" t="str">
        <f t="shared" si="255"/>
        <v>1.可借圖書</v>
      </c>
      <c r="AG630" t="str">
        <f t="shared" si="256"/>
        <v>在架</v>
      </c>
      <c r="AI630" t="s">
        <v>65</v>
      </c>
      <c r="AK630" t="str">
        <f t="shared" si="244"/>
        <v>一般(Normal)</v>
      </c>
      <c r="AO630" t="s">
        <v>65</v>
      </c>
      <c r="AS630" t="str">
        <f>("c2000. ")</f>
        <v xml:space="preserve">c2000. </v>
      </c>
      <c r="AT630" t="str">
        <f t="shared" si="245"/>
        <v>catc</v>
      </c>
    </row>
    <row r="631" spans="1:46" x14ac:dyDescent="0.25">
      <c r="A631">
        <v>620</v>
      </c>
      <c r="B631" t="str">
        <f>("289464")</f>
        <v>289464</v>
      </c>
      <c r="C631" t="str">
        <f>("W00002656")</f>
        <v>W00002656</v>
      </c>
      <c r="D631" t="str">
        <f>("sendmail for Linux / ")</f>
        <v xml:space="preserve">sendmail for Linux / </v>
      </c>
      <c r="E631" t="str">
        <f>("Blum, Richard. ")</f>
        <v xml:space="preserve">Blum, Richard. </v>
      </c>
      <c r="F631" t="str">
        <f>("Sams, ")</f>
        <v xml:space="preserve">Sams, </v>
      </c>
      <c r="H631" t="str">
        <f t="shared" si="249"/>
        <v>圖書 book</v>
      </c>
      <c r="I631" t="str">
        <f>("TK5105.73 B658 2000")</f>
        <v>TK5105.73 B658 2000</v>
      </c>
      <c r="J631" t="str">
        <f>("0672318342")</f>
        <v>0672318342</v>
      </c>
      <c r="K631" t="str">
        <f>("984")</f>
        <v>984</v>
      </c>
      <c r="L631" t="str">
        <f t="shared" si="246"/>
        <v>2001/10/10 00:00:00</v>
      </c>
      <c r="M631" t="str">
        <f t="shared" si="259"/>
        <v>2018/08/11 13:34:37</v>
      </c>
      <c r="N631" t="str">
        <f>("2000")</f>
        <v>2000</v>
      </c>
      <c r="O631" t="str">
        <f t="shared" si="253"/>
        <v>4F西文書庫 4F Western Language Books</v>
      </c>
      <c r="P631" t="s">
        <v>64</v>
      </c>
      <c r="W631" t="str">
        <f t="shared" si="262"/>
        <v>美國國會圖書分類法</v>
      </c>
      <c r="Y631" t="str">
        <f>("TK5105.73")</f>
        <v>TK5105.73</v>
      </c>
      <c r="Z631" t="str">
        <f t="shared" si="260"/>
        <v>2018/08/11 13:34:37</v>
      </c>
      <c r="AA631" t="str">
        <f t="shared" si="243"/>
        <v>catc</v>
      </c>
      <c r="AC631" t="str">
        <f>("B658")</f>
        <v>B658</v>
      </c>
      <c r="AE631" t="str">
        <f t="shared" si="261"/>
        <v>c.1</v>
      </c>
      <c r="AF631" t="str">
        <f t="shared" si="255"/>
        <v>1.可借圖書</v>
      </c>
      <c r="AG631" t="str">
        <f t="shared" si="256"/>
        <v>在架</v>
      </c>
      <c r="AI631" t="s">
        <v>65</v>
      </c>
      <c r="AK631" t="str">
        <f t="shared" si="244"/>
        <v>一般(Normal)</v>
      </c>
      <c r="AO631" t="s">
        <v>65</v>
      </c>
      <c r="AS631" t="str">
        <f>(" 2000. ")</f>
        <v xml:space="preserve"> 2000. </v>
      </c>
      <c r="AT631" t="str">
        <f t="shared" si="245"/>
        <v>catc</v>
      </c>
    </row>
    <row r="632" spans="1:46" x14ac:dyDescent="0.25">
      <c r="A632">
        <v>621</v>
      </c>
      <c r="B632" t="str">
        <f>("289465")</f>
        <v>289465</v>
      </c>
      <c r="C632" t="str">
        <f>("W00002657")</f>
        <v>W00002657</v>
      </c>
      <c r="D632" t="str">
        <f>("The art &amp; science of Web design / ")</f>
        <v xml:space="preserve">The art &amp; science of Web design / </v>
      </c>
      <c r="E632" t="str">
        <f>("Veen, Jeffrey. ")</f>
        <v xml:space="preserve">Veen, Jeffrey. </v>
      </c>
      <c r="F632" t="str">
        <f>(" New Riders, ")</f>
        <v xml:space="preserve"> New Riders, </v>
      </c>
      <c r="H632" t="str">
        <f t="shared" si="249"/>
        <v>圖書 book</v>
      </c>
      <c r="I632" t="str">
        <f>("QA76.65 V418 2001")</f>
        <v>QA76.65 V418 2001</v>
      </c>
      <c r="J632" t="str">
        <f>("0789723700")</f>
        <v>0789723700</v>
      </c>
      <c r="K632" t="str">
        <f>("1264")</f>
        <v>1264</v>
      </c>
      <c r="L632" t="str">
        <f t="shared" si="246"/>
        <v>2001/10/10 00:00:00</v>
      </c>
      <c r="M632" t="str">
        <f t="shared" si="259"/>
        <v>2018/08/11 13:34:37</v>
      </c>
      <c r="N632" t="str">
        <f>("2001")</f>
        <v>2001</v>
      </c>
      <c r="O632" t="str">
        <f t="shared" si="253"/>
        <v>4F西文書庫 4F Western Language Books</v>
      </c>
      <c r="P632" t="s">
        <v>64</v>
      </c>
      <c r="W632" t="str">
        <f t="shared" si="262"/>
        <v>美國國會圖書分類法</v>
      </c>
      <c r="Y632" t="str">
        <f>("QA76.65")</f>
        <v>QA76.65</v>
      </c>
      <c r="Z632" t="str">
        <f t="shared" si="260"/>
        <v>2018/08/11 13:34:37</v>
      </c>
      <c r="AA632" t="str">
        <f t="shared" si="243"/>
        <v>catc</v>
      </c>
      <c r="AC632" t="str">
        <f>("V418")</f>
        <v>V418</v>
      </c>
      <c r="AE632" t="str">
        <f t="shared" si="261"/>
        <v>c.1</v>
      </c>
      <c r="AF632" t="str">
        <f t="shared" si="255"/>
        <v>1.可借圖書</v>
      </c>
      <c r="AG632" t="str">
        <f t="shared" si="256"/>
        <v>在架</v>
      </c>
      <c r="AI632" t="s">
        <v>65</v>
      </c>
      <c r="AK632" t="str">
        <f t="shared" si="244"/>
        <v>一般(Normal)</v>
      </c>
      <c r="AO632" t="s">
        <v>65</v>
      </c>
      <c r="AS632" t="str">
        <f>(" c2001. ")</f>
        <v xml:space="preserve"> c2001. </v>
      </c>
      <c r="AT632" t="str">
        <f t="shared" si="245"/>
        <v>catc</v>
      </c>
    </row>
    <row r="633" spans="1:46" x14ac:dyDescent="0.25">
      <c r="A633">
        <v>622</v>
      </c>
      <c r="B633" t="str">
        <f>("289466")</f>
        <v>289466</v>
      </c>
      <c r="C633" t="str">
        <f>("W00002658")</f>
        <v>W00002658</v>
      </c>
      <c r="D633" t="str">
        <f>("Developing applications with Visual Basic and UML / ")</f>
        <v xml:space="preserve">Developing applications with Visual Basic and UML / </v>
      </c>
      <c r="E633" t="str">
        <f>("Reed, Paul R. ")</f>
        <v xml:space="preserve">Reed, Paul R. </v>
      </c>
      <c r="F633" t="str">
        <f>("Addison-Wesley, ")</f>
        <v xml:space="preserve">Addison-Wesley, </v>
      </c>
      <c r="H633" t="str">
        <f t="shared" si="249"/>
        <v>圖書 book</v>
      </c>
      <c r="I633" t="str">
        <f>("QA76.76.A65 R323 2000")</f>
        <v>QA76.76.A65 R323 2000</v>
      </c>
      <c r="J633" t="str">
        <f>("0201615797")</f>
        <v>0201615797</v>
      </c>
      <c r="K633" t="str">
        <f>("1120")</f>
        <v>1120</v>
      </c>
      <c r="L633" t="str">
        <f t="shared" si="246"/>
        <v>2001/10/10 00:00:00</v>
      </c>
      <c r="M633" t="str">
        <f t="shared" ref="M633:M643" si="263">("2018/08/11 13:34:38")</f>
        <v>2018/08/11 13:34:38</v>
      </c>
      <c r="N633" t="str">
        <f>("2000")</f>
        <v>2000</v>
      </c>
      <c r="O633" t="str">
        <f t="shared" si="253"/>
        <v>4F西文書庫 4F Western Language Books</v>
      </c>
      <c r="P633" t="s">
        <v>64</v>
      </c>
      <c r="W633" t="str">
        <f t="shared" si="262"/>
        <v>美國國會圖書分類法</v>
      </c>
      <c r="Y633" t="str">
        <f>("QA76.76.A65")</f>
        <v>QA76.76.A65</v>
      </c>
      <c r="Z633" t="str">
        <f t="shared" si="260"/>
        <v>2018/08/11 13:34:37</v>
      </c>
      <c r="AA633" t="str">
        <f t="shared" si="243"/>
        <v>catc</v>
      </c>
      <c r="AC633" t="str">
        <f>("R323")</f>
        <v>R323</v>
      </c>
      <c r="AE633" t="str">
        <f t="shared" si="261"/>
        <v>c.1</v>
      </c>
      <c r="AF633" t="str">
        <f t="shared" si="255"/>
        <v>1.可借圖書</v>
      </c>
      <c r="AG633" t="str">
        <f t="shared" si="256"/>
        <v>在架</v>
      </c>
      <c r="AI633" t="s">
        <v>65</v>
      </c>
      <c r="AK633" t="str">
        <f t="shared" si="244"/>
        <v>一般(Normal)</v>
      </c>
      <c r="AO633" t="s">
        <v>65</v>
      </c>
      <c r="AS633" t="str">
        <f>("c2000. ")</f>
        <v xml:space="preserve">c2000. </v>
      </c>
      <c r="AT633" t="str">
        <f t="shared" si="245"/>
        <v>catc</v>
      </c>
    </row>
    <row r="634" spans="1:46" x14ac:dyDescent="0.25">
      <c r="A634">
        <v>623</v>
      </c>
      <c r="B634" t="str">
        <f>("289467")</f>
        <v>289467</v>
      </c>
      <c r="C634" t="str">
        <f>("W00002659")</f>
        <v>W00002659</v>
      </c>
      <c r="D634" t="str">
        <f>("Designing concurrent, distributed, and real-time applications with UML / ")</f>
        <v xml:space="preserve">Designing concurrent, distributed, and real-time applications with UML / </v>
      </c>
      <c r="E634" t="str">
        <f>("Gomaa, Hassan. ")</f>
        <v xml:space="preserve">Gomaa, Hassan. </v>
      </c>
      <c r="F634" t="str">
        <f>(" Addison-Wesley, ")</f>
        <v xml:space="preserve"> Addison-Wesley, </v>
      </c>
      <c r="H634" t="str">
        <f t="shared" si="249"/>
        <v>圖書 book</v>
      </c>
      <c r="I634" t="str">
        <f>("QA76.76.A65 G631 2000")</f>
        <v>QA76.76.A65 G631 2000</v>
      </c>
      <c r="J634" t="str">
        <f>("0201657937")</f>
        <v>0201657937</v>
      </c>
      <c r="K634" t="str">
        <f>("1498")</f>
        <v>1498</v>
      </c>
      <c r="L634" t="str">
        <f t="shared" si="246"/>
        <v>2001/10/10 00:00:00</v>
      </c>
      <c r="M634" t="str">
        <f t="shared" si="263"/>
        <v>2018/08/11 13:34:38</v>
      </c>
      <c r="N634" t="str">
        <f>("2000")</f>
        <v>2000</v>
      </c>
      <c r="O634" t="str">
        <f t="shared" si="253"/>
        <v>4F西文書庫 4F Western Language Books</v>
      </c>
      <c r="P634" t="s">
        <v>64</v>
      </c>
      <c r="W634" t="str">
        <f t="shared" si="262"/>
        <v>美國國會圖書分類法</v>
      </c>
      <c r="Y634" t="str">
        <f>("QA76.76.A65")</f>
        <v>QA76.76.A65</v>
      </c>
      <c r="Z634" t="str">
        <f t="shared" ref="Z634:Z643" si="264">("2018/08/11 13:34:38")</f>
        <v>2018/08/11 13:34:38</v>
      </c>
      <c r="AA634" t="str">
        <f t="shared" si="243"/>
        <v>catc</v>
      </c>
      <c r="AC634" t="str">
        <f>("G631")</f>
        <v>G631</v>
      </c>
      <c r="AE634" t="str">
        <f t="shared" si="261"/>
        <v>c.1</v>
      </c>
      <c r="AF634" t="str">
        <f t="shared" si="255"/>
        <v>1.可借圖書</v>
      </c>
      <c r="AG634" t="str">
        <f t="shared" si="256"/>
        <v>在架</v>
      </c>
      <c r="AI634" t="s">
        <v>65</v>
      </c>
      <c r="AK634" t="str">
        <f t="shared" si="244"/>
        <v>一般(Normal)</v>
      </c>
      <c r="AO634" t="s">
        <v>65</v>
      </c>
      <c r="AS634" t="str">
        <f>(" c2000. ")</f>
        <v xml:space="preserve"> c2000. </v>
      </c>
      <c r="AT634" t="str">
        <f t="shared" si="245"/>
        <v>catc</v>
      </c>
    </row>
    <row r="635" spans="1:46" x14ac:dyDescent="0.25">
      <c r="A635">
        <v>624</v>
      </c>
      <c r="B635" t="str">
        <f>("289468")</f>
        <v>289468</v>
      </c>
      <c r="C635" t="str">
        <f>("W00002660")</f>
        <v>W00002660</v>
      </c>
      <c r="D635" t="str">
        <f>("International programming for Microsoft Windows / ")</f>
        <v xml:space="preserve">International programming for Microsoft Windows / </v>
      </c>
      <c r="E635" t="str">
        <f>("Schmitt, David A. ")</f>
        <v xml:space="preserve">Schmitt, David A. </v>
      </c>
      <c r="F635" t="str">
        <f>("Microsoft Press, ")</f>
        <v xml:space="preserve">Microsoft Press, </v>
      </c>
      <c r="H635" t="str">
        <f t="shared" si="249"/>
        <v>圖書 book</v>
      </c>
      <c r="I635" t="str">
        <f>("QA76.6 S355 2000")</f>
        <v>QA76.6 S355 2000</v>
      </c>
      <c r="J635" t="str">
        <f>("1572319569")</f>
        <v>1572319569</v>
      </c>
      <c r="K635" t="str">
        <f>("1400")</f>
        <v>1400</v>
      </c>
      <c r="L635" t="str">
        <f t="shared" si="246"/>
        <v>2001/10/10 00:00:00</v>
      </c>
      <c r="M635" t="str">
        <f t="shared" si="263"/>
        <v>2018/08/11 13:34:38</v>
      </c>
      <c r="N635" t="str">
        <f>("2000")</f>
        <v>2000</v>
      </c>
      <c r="O635" t="str">
        <f t="shared" si="253"/>
        <v>4F西文書庫 4F Western Language Books</v>
      </c>
      <c r="P635" t="s">
        <v>64</v>
      </c>
      <c r="W635" t="str">
        <f t="shared" si="262"/>
        <v>美國國會圖書分類法</v>
      </c>
      <c r="Y635" t="str">
        <f>("QA76.6")</f>
        <v>QA76.6</v>
      </c>
      <c r="Z635" t="str">
        <f t="shared" si="264"/>
        <v>2018/08/11 13:34:38</v>
      </c>
      <c r="AA635" t="str">
        <f t="shared" si="243"/>
        <v>catc</v>
      </c>
      <c r="AC635" t="str">
        <f>("S355")</f>
        <v>S355</v>
      </c>
      <c r="AE635" t="str">
        <f t="shared" si="261"/>
        <v>c.1</v>
      </c>
      <c r="AF635" t="str">
        <f t="shared" si="255"/>
        <v>1.可借圖書</v>
      </c>
      <c r="AG635" t="str">
        <f t="shared" si="256"/>
        <v>在架</v>
      </c>
      <c r="AI635" t="s">
        <v>65</v>
      </c>
      <c r="AK635" t="str">
        <f t="shared" si="244"/>
        <v>一般(Normal)</v>
      </c>
      <c r="AO635" t="s">
        <v>65</v>
      </c>
      <c r="AS635" t="str">
        <f>("c2000. ")</f>
        <v xml:space="preserve">c2000. </v>
      </c>
      <c r="AT635" t="str">
        <f t="shared" si="245"/>
        <v>catc</v>
      </c>
    </row>
    <row r="636" spans="1:46" x14ac:dyDescent="0.25">
      <c r="A636">
        <v>625</v>
      </c>
      <c r="B636" t="str">
        <f>("289469")</f>
        <v>289469</v>
      </c>
      <c r="C636" t="str">
        <f>("W00002661")</f>
        <v>W00002661</v>
      </c>
      <c r="D636" t="str">
        <f>("Apache desktop reference / ")</f>
        <v xml:space="preserve">Apache desktop reference / </v>
      </c>
      <c r="E636" t="str">
        <f>("Engelschall, Ralf S. ")</f>
        <v xml:space="preserve">Engelschall, Ralf S. </v>
      </c>
      <c r="F636" t="str">
        <f>("Addison-Wesley, ")</f>
        <v xml:space="preserve">Addison-Wesley, </v>
      </c>
      <c r="H636" t="str">
        <f t="shared" si="249"/>
        <v>圖書 book</v>
      </c>
      <c r="I636" t="str">
        <f>("TK5105.8885.A63 E57 2001")</f>
        <v>TK5105.8885.A63 E57 2001</v>
      </c>
      <c r="J636" t="str">
        <f>("0201604701")</f>
        <v>0201604701</v>
      </c>
      <c r="K636" t="str">
        <f>("1120")</f>
        <v>1120</v>
      </c>
      <c r="L636" t="str">
        <f t="shared" si="246"/>
        <v>2001/10/10 00:00:00</v>
      </c>
      <c r="M636" t="str">
        <f t="shared" si="263"/>
        <v>2018/08/11 13:34:38</v>
      </c>
      <c r="N636" t="str">
        <f>("2001")</f>
        <v>2001</v>
      </c>
      <c r="O636" t="str">
        <f t="shared" si="253"/>
        <v>4F西文書庫 4F Western Language Books</v>
      </c>
      <c r="P636" t="s">
        <v>64</v>
      </c>
      <c r="W636" t="str">
        <f t="shared" si="262"/>
        <v>美國國會圖書分類法</v>
      </c>
      <c r="Y636" t="str">
        <f>("TK5105.8885.A63")</f>
        <v>TK5105.8885.A63</v>
      </c>
      <c r="Z636" t="str">
        <f t="shared" si="264"/>
        <v>2018/08/11 13:34:38</v>
      </c>
      <c r="AA636" t="str">
        <f t="shared" si="243"/>
        <v>catc</v>
      </c>
      <c r="AC636" t="str">
        <f>("E57")</f>
        <v>E57</v>
      </c>
      <c r="AE636" t="str">
        <f t="shared" si="261"/>
        <v>c.1</v>
      </c>
      <c r="AF636" t="str">
        <f t="shared" si="255"/>
        <v>1.可借圖書</v>
      </c>
      <c r="AG636" t="str">
        <f t="shared" si="256"/>
        <v>在架</v>
      </c>
      <c r="AI636" t="s">
        <v>65</v>
      </c>
      <c r="AK636" t="str">
        <f t="shared" si="244"/>
        <v>一般(Normal)</v>
      </c>
      <c r="AO636" t="s">
        <v>65</v>
      </c>
      <c r="AS636" t="str">
        <f>("2001. ")</f>
        <v xml:space="preserve">2001. </v>
      </c>
      <c r="AT636" t="str">
        <f t="shared" si="245"/>
        <v>catc</v>
      </c>
    </row>
    <row r="637" spans="1:46" x14ac:dyDescent="0.25">
      <c r="A637">
        <v>626</v>
      </c>
      <c r="B637" t="str">
        <f>("289470")</f>
        <v>289470</v>
      </c>
      <c r="C637" t="str">
        <f>("W00002662")</f>
        <v>W00002662</v>
      </c>
      <c r="D637" t="str">
        <f>("The official guide to Informix/Red Brick data warehousing / ")</f>
        <v xml:space="preserve">The official guide to Informix/Red Brick data warehousing / </v>
      </c>
      <c r="E637" t="str">
        <f>("Hocutt, Robert J., 1961- ")</f>
        <v xml:space="preserve">Hocutt, Robert J., 1961- </v>
      </c>
      <c r="F637" t="str">
        <f>("IDG Books Worldwide, ")</f>
        <v xml:space="preserve">IDG Books Worldwide, </v>
      </c>
      <c r="H637" t="str">
        <f t="shared" si="249"/>
        <v>圖書 book</v>
      </c>
      <c r="I637" t="str">
        <f>("QA76.9.D37 H685 2001")</f>
        <v>QA76.9.D37 H685 2001</v>
      </c>
      <c r="J637" t="str">
        <f>("0764546945")</f>
        <v>0764546945</v>
      </c>
      <c r="K637" t="str">
        <f>("1120")</f>
        <v>1120</v>
      </c>
      <c r="L637" t="str">
        <f t="shared" si="246"/>
        <v>2001/10/10 00:00:00</v>
      </c>
      <c r="M637" t="str">
        <f t="shared" si="263"/>
        <v>2018/08/11 13:34:38</v>
      </c>
      <c r="N637" t="str">
        <f>("2001")</f>
        <v>2001</v>
      </c>
      <c r="O637" t="str">
        <f t="shared" si="253"/>
        <v>4F西文書庫 4F Western Language Books</v>
      </c>
      <c r="P637" t="s">
        <v>64</v>
      </c>
      <c r="W637" t="str">
        <f t="shared" si="262"/>
        <v>美國國會圖書分類法</v>
      </c>
      <c r="Y637" t="str">
        <f>("QA76.9.D37")</f>
        <v>QA76.9.D37</v>
      </c>
      <c r="Z637" t="str">
        <f t="shared" si="264"/>
        <v>2018/08/11 13:34:38</v>
      </c>
      <c r="AA637" t="str">
        <f t="shared" si="243"/>
        <v>catc</v>
      </c>
      <c r="AC637" t="str">
        <f>("H685")</f>
        <v>H685</v>
      </c>
      <c r="AE637" t="str">
        <f t="shared" si="261"/>
        <v>c.1</v>
      </c>
      <c r="AF637" t="str">
        <f t="shared" si="255"/>
        <v>1.可借圖書</v>
      </c>
      <c r="AG637" t="str">
        <f t="shared" si="256"/>
        <v>在架</v>
      </c>
      <c r="AI637" t="s">
        <v>65</v>
      </c>
      <c r="AK637" t="str">
        <f t="shared" si="244"/>
        <v>一般(Normal)</v>
      </c>
      <c r="AO637" t="s">
        <v>65</v>
      </c>
      <c r="AS637" t="str">
        <f>("2001. ")</f>
        <v xml:space="preserve">2001. </v>
      </c>
      <c r="AT637" t="str">
        <f t="shared" si="245"/>
        <v>catc</v>
      </c>
    </row>
    <row r="638" spans="1:46" x14ac:dyDescent="0.25">
      <c r="A638">
        <v>627</v>
      </c>
      <c r="B638" t="str">
        <f>("289471")</f>
        <v>289471</v>
      </c>
      <c r="C638" t="str">
        <f>("W00002663")</f>
        <v>W00002663</v>
      </c>
      <c r="D638" t="str">
        <f>("The Java programming language / ")</f>
        <v xml:space="preserve">The Java programming language / </v>
      </c>
      <c r="E638" t="str">
        <f>("Arnold, Ken, 1958- ")</f>
        <v xml:space="preserve">Arnold, Ken, 1958- </v>
      </c>
      <c r="F638" t="str">
        <f>("Addison-Wesley, ")</f>
        <v xml:space="preserve">Addison-Wesley, </v>
      </c>
      <c r="G638" t="str">
        <f>("3rd ed. ")</f>
        <v xml:space="preserve">3rd ed. </v>
      </c>
      <c r="H638" t="str">
        <f t="shared" si="249"/>
        <v>圖書 book</v>
      </c>
      <c r="I638" t="str">
        <f>("QA76.73 A752 2000")</f>
        <v>QA76.73 A752 2000</v>
      </c>
      <c r="J638" t="str">
        <f>("0201704331")</f>
        <v>0201704331</v>
      </c>
      <c r="K638" t="str">
        <f>("1064")</f>
        <v>1064</v>
      </c>
      <c r="L638" t="str">
        <f t="shared" si="246"/>
        <v>2001/10/10 00:00:00</v>
      </c>
      <c r="M638" t="str">
        <f t="shared" si="263"/>
        <v>2018/08/11 13:34:38</v>
      </c>
      <c r="N638" t="str">
        <f>("2000")</f>
        <v>2000</v>
      </c>
      <c r="O638" t="str">
        <f t="shared" si="253"/>
        <v>4F西文書庫 4F Western Language Books</v>
      </c>
      <c r="P638" t="s">
        <v>64</v>
      </c>
      <c r="W638" t="str">
        <f t="shared" si="262"/>
        <v>美國國會圖書分類法</v>
      </c>
      <c r="Y638" t="str">
        <f>("QA76.73")</f>
        <v>QA76.73</v>
      </c>
      <c r="Z638" t="str">
        <f t="shared" si="264"/>
        <v>2018/08/11 13:34:38</v>
      </c>
      <c r="AA638" t="str">
        <f t="shared" si="243"/>
        <v>catc</v>
      </c>
      <c r="AC638" t="str">
        <f>("A752")</f>
        <v>A752</v>
      </c>
      <c r="AE638" t="str">
        <f t="shared" si="261"/>
        <v>c.1</v>
      </c>
      <c r="AF638" t="str">
        <f t="shared" si="255"/>
        <v>1.可借圖書</v>
      </c>
      <c r="AG638" t="str">
        <f t="shared" si="256"/>
        <v>在架</v>
      </c>
      <c r="AI638" t="s">
        <v>65</v>
      </c>
      <c r="AK638" t="str">
        <f t="shared" si="244"/>
        <v>一般(Normal)</v>
      </c>
      <c r="AO638" t="s">
        <v>65</v>
      </c>
      <c r="AS638" t="str">
        <f>("c2000. ")</f>
        <v xml:space="preserve">c2000. </v>
      </c>
      <c r="AT638" t="str">
        <f t="shared" si="245"/>
        <v>catc</v>
      </c>
    </row>
    <row r="639" spans="1:46" x14ac:dyDescent="0.25">
      <c r="A639">
        <v>628</v>
      </c>
      <c r="B639" t="str">
        <f>("289472")</f>
        <v>289472</v>
      </c>
      <c r="C639" t="str">
        <f>("W00002664")</f>
        <v>W00002664</v>
      </c>
      <c r="D639" t="str">
        <f>("The Java language specification / ")</f>
        <v xml:space="preserve">The Java language specification / </v>
      </c>
      <c r="E639" t="str">
        <f>("Gosling, James.")</f>
        <v>Gosling, James.</v>
      </c>
      <c r="F639" t="str">
        <f>("Addison-Wesley, ")</f>
        <v xml:space="preserve">Addison-Wesley, </v>
      </c>
      <c r="G639" t="str">
        <f>("2nd ed. ")</f>
        <v xml:space="preserve">2nd ed. </v>
      </c>
      <c r="H639" t="str">
        <f t="shared" si="249"/>
        <v>圖書 book</v>
      </c>
      <c r="I639" t="str">
        <f>("QA76.73.J38 G676 2000")</f>
        <v>QA76.73.J38 G676 2000</v>
      </c>
      <c r="J639" t="str">
        <f>("0201310082")</f>
        <v>0201310082</v>
      </c>
      <c r="K639" t="str">
        <f>("1120")</f>
        <v>1120</v>
      </c>
      <c r="L639" t="str">
        <f t="shared" si="246"/>
        <v>2001/10/10 00:00:00</v>
      </c>
      <c r="M639" t="str">
        <f t="shared" si="263"/>
        <v>2018/08/11 13:34:38</v>
      </c>
      <c r="N639" t="str">
        <f>("2000")</f>
        <v>2000</v>
      </c>
      <c r="O639" t="str">
        <f t="shared" si="253"/>
        <v>4F西文書庫 4F Western Language Books</v>
      </c>
      <c r="P639" t="s">
        <v>64</v>
      </c>
      <c r="W639" t="str">
        <f t="shared" si="262"/>
        <v>美國國會圖書分類法</v>
      </c>
      <c r="Y639" t="str">
        <f>("QA76.73.J38")</f>
        <v>QA76.73.J38</v>
      </c>
      <c r="Z639" t="str">
        <f t="shared" si="264"/>
        <v>2018/08/11 13:34:38</v>
      </c>
      <c r="AA639" t="str">
        <f t="shared" si="243"/>
        <v>catc</v>
      </c>
      <c r="AC639" t="str">
        <f>("G676")</f>
        <v>G676</v>
      </c>
      <c r="AE639" t="str">
        <f t="shared" si="261"/>
        <v>c.1</v>
      </c>
      <c r="AF639" t="str">
        <f t="shared" si="255"/>
        <v>1.可借圖書</v>
      </c>
      <c r="AG639" t="str">
        <f t="shared" si="256"/>
        <v>在架</v>
      </c>
      <c r="AI639" t="s">
        <v>65</v>
      </c>
      <c r="AK639" t="str">
        <f t="shared" si="244"/>
        <v>一般(Normal)</v>
      </c>
      <c r="AO639" t="s">
        <v>65</v>
      </c>
      <c r="AS639" t="str">
        <f>("c2000. ")</f>
        <v xml:space="preserve">c2000. </v>
      </c>
      <c r="AT639" t="str">
        <f t="shared" si="245"/>
        <v>catc</v>
      </c>
    </row>
    <row r="640" spans="1:46" x14ac:dyDescent="0.25">
      <c r="A640">
        <v>629</v>
      </c>
      <c r="B640" t="str">
        <f>("289481")</f>
        <v>289481</v>
      </c>
      <c r="C640" t="str">
        <f>("W00002665")</f>
        <v>W00002665</v>
      </c>
      <c r="D640" t="str">
        <f>("Programming Windows security / ")</f>
        <v xml:space="preserve">Programming Windows security / </v>
      </c>
      <c r="E640" t="str">
        <f>("Brown, Keith,  1967 Mar. 16- ")</f>
        <v xml:space="preserve">Brown, Keith,  1967 Mar. 16- </v>
      </c>
      <c r="F640" t="str">
        <f>("Addison-Wesley, ")</f>
        <v xml:space="preserve">Addison-Wesley, </v>
      </c>
      <c r="H640" t="str">
        <f t="shared" si="249"/>
        <v>圖書 book</v>
      </c>
      <c r="I640" t="str">
        <f>("QA76.9.A25 B882 2000")</f>
        <v>QA76.9.A25 B882 2000</v>
      </c>
      <c r="J640" t="str">
        <f>("0201604426")</f>
        <v>0201604426</v>
      </c>
      <c r="K640" t="str">
        <f>("1120")</f>
        <v>1120</v>
      </c>
      <c r="L640" t="str">
        <f t="shared" si="246"/>
        <v>2001/10/10 00:00:00</v>
      </c>
      <c r="M640" t="str">
        <f t="shared" si="263"/>
        <v>2018/08/11 13:34:38</v>
      </c>
      <c r="N640" t="str">
        <f>("2000")</f>
        <v>2000</v>
      </c>
      <c r="O640" t="str">
        <f t="shared" si="253"/>
        <v>4F西文書庫 4F Western Language Books</v>
      </c>
      <c r="P640" t="s">
        <v>64</v>
      </c>
      <c r="W640" t="str">
        <f t="shared" si="262"/>
        <v>美國國會圖書分類法</v>
      </c>
      <c r="Y640" t="str">
        <f>("QA76.9.A25")</f>
        <v>QA76.9.A25</v>
      </c>
      <c r="Z640" t="str">
        <f t="shared" si="264"/>
        <v>2018/08/11 13:34:38</v>
      </c>
      <c r="AA640" t="str">
        <f t="shared" si="243"/>
        <v>catc</v>
      </c>
      <c r="AC640" t="str">
        <f>("B882")</f>
        <v>B882</v>
      </c>
      <c r="AE640" t="str">
        <f t="shared" si="261"/>
        <v>c.1</v>
      </c>
      <c r="AF640" t="str">
        <f t="shared" si="255"/>
        <v>1.可借圖書</v>
      </c>
      <c r="AG640" t="str">
        <f t="shared" si="256"/>
        <v>在架</v>
      </c>
      <c r="AI640" t="s">
        <v>65</v>
      </c>
      <c r="AK640" t="str">
        <f t="shared" si="244"/>
        <v>一般(Normal)</v>
      </c>
      <c r="AO640" t="s">
        <v>65</v>
      </c>
      <c r="AS640" t="str">
        <f>("c2000. ")</f>
        <v xml:space="preserve">c2000. </v>
      </c>
      <c r="AT640" t="str">
        <f t="shared" si="245"/>
        <v>catc</v>
      </c>
    </row>
    <row r="641" spans="1:46" x14ac:dyDescent="0.25">
      <c r="A641">
        <v>630</v>
      </c>
      <c r="B641" t="str">
        <f>("289482")</f>
        <v>289482</v>
      </c>
      <c r="C641" t="str">
        <f>("W00002666")</f>
        <v>W00002666</v>
      </c>
      <c r="D641" t="str">
        <f>("The complete e-commerce book :design, build &amp; maintain asuccessful web-based business /")</f>
        <v>The complete e-commerce book :design, build &amp; maintain asuccessful web-based business /</v>
      </c>
      <c r="E641" t="str">
        <f>("Reynolds, Janice ")</f>
        <v xml:space="preserve">Reynolds, Janice </v>
      </c>
      <c r="F641" t="str">
        <f>("CMP Books ;;Distributed to the book trade in the U.S. and Canada by Publishers Group West,")</f>
        <v>CMP Books ;;Distributed to the book trade in the U.S. and Canada by Publishers Group West,</v>
      </c>
      <c r="H641" t="str">
        <f t="shared" si="249"/>
        <v>圖書 book</v>
      </c>
      <c r="I641" t="str">
        <f>("HF5548.32 R463 2000")</f>
        <v>HF5548.32 R463 2000</v>
      </c>
      <c r="J641" t="str">
        <f>("157820061X")</f>
        <v>157820061X</v>
      </c>
      <c r="K641" t="str">
        <f>("840")</f>
        <v>840</v>
      </c>
      <c r="L641" t="str">
        <f t="shared" si="246"/>
        <v>2001/10/10 00:00:00</v>
      </c>
      <c r="M641" t="str">
        <f t="shared" si="263"/>
        <v>2018/08/11 13:34:38</v>
      </c>
      <c r="N641" t="str">
        <f>("2000")</f>
        <v>2000</v>
      </c>
      <c r="O641" t="str">
        <f t="shared" ref="O641:O672" si="265">("4F西文書庫 4F Western Language Books")</f>
        <v>4F西文書庫 4F Western Language Books</v>
      </c>
      <c r="P641" t="s">
        <v>64</v>
      </c>
      <c r="W641" t="str">
        <f t="shared" si="262"/>
        <v>美國國會圖書分類法</v>
      </c>
      <c r="Y641" t="str">
        <f>("HF5548.32")</f>
        <v>HF5548.32</v>
      </c>
      <c r="Z641" t="str">
        <f t="shared" si="264"/>
        <v>2018/08/11 13:34:38</v>
      </c>
      <c r="AA641" t="str">
        <f t="shared" si="243"/>
        <v>catc</v>
      </c>
      <c r="AC641" t="str">
        <f>("R463")</f>
        <v>R463</v>
      </c>
      <c r="AE641" t="str">
        <f t="shared" si="261"/>
        <v>c.1</v>
      </c>
      <c r="AF641" t="str">
        <f t="shared" si="255"/>
        <v>1.可借圖書</v>
      </c>
      <c r="AG641" t="str">
        <f t="shared" ref="AG641:AG672" si="266">("在架")</f>
        <v>在架</v>
      </c>
      <c r="AI641" t="s">
        <v>65</v>
      </c>
      <c r="AK641" t="str">
        <f t="shared" si="244"/>
        <v>一般(Normal)</v>
      </c>
      <c r="AO641" t="s">
        <v>65</v>
      </c>
      <c r="AS641" t="str">
        <f>("c2000 ")</f>
        <v xml:space="preserve">c2000 </v>
      </c>
      <c r="AT641" t="str">
        <f t="shared" si="245"/>
        <v>catc</v>
      </c>
    </row>
    <row r="642" spans="1:46" x14ac:dyDescent="0.25">
      <c r="A642">
        <v>631</v>
      </c>
      <c r="B642" t="str">
        <f>("289483")</f>
        <v>289483</v>
      </c>
      <c r="C642" t="str">
        <f>("W00002667")</f>
        <v>W00002667</v>
      </c>
      <c r="D642" t="str">
        <f>("Function point analysis : measurement practices for successful software projects / ")</f>
        <v xml:space="preserve">Function point analysis : measurement practices for successful software projects / </v>
      </c>
      <c r="E642" t="str">
        <f>("Garmus, David. ")</f>
        <v xml:space="preserve">Garmus, David. </v>
      </c>
      <c r="F642" t="str">
        <f>("Addison-Wesley, ")</f>
        <v xml:space="preserve">Addison-Wesley, </v>
      </c>
      <c r="H642" t="str">
        <f t="shared" si="249"/>
        <v>圖書 book</v>
      </c>
      <c r="I642" t="str">
        <f>("QA76.76.D47 G212 2001")</f>
        <v>QA76.76.D47 G212 2001</v>
      </c>
      <c r="J642" t="str">
        <f>("0201699443")</f>
        <v>0201699443</v>
      </c>
      <c r="K642" t="str">
        <f>("1120")</f>
        <v>1120</v>
      </c>
      <c r="L642" t="str">
        <f t="shared" si="246"/>
        <v>2001/10/10 00:00:00</v>
      </c>
      <c r="M642" t="str">
        <f t="shared" si="263"/>
        <v>2018/08/11 13:34:38</v>
      </c>
      <c r="N642" t="str">
        <f>("2001")</f>
        <v>2001</v>
      </c>
      <c r="O642" t="str">
        <f t="shared" si="265"/>
        <v>4F西文書庫 4F Western Language Books</v>
      </c>
      <c r="P642" t="s">
        <v>64</v>
      </c>
      <c r="S642" t="str">
        <f>("xxxii, 363 p. : ")</f>
        <v xml:space="preserve">xxxii, 363 p. : </v>
      </c>
      <c r="T642" t="str">
        <f>("ill. ; ")</f>
        <v xml:space="preserve">ill. ; </v>
      </c>
      <c r="U642" t="str">
        <f>("24 cm. ")</f>
        <v xml:space="preserve">24 cm. </v>
      </c>
      <c r="W642" t="str">
        <f t="shared" si="262"/>
        <v>美國國會圖書分類法</v>
      </c>
      <c r="Y642" t="str">
        <f>("QA76.76.D47")</f>
        <v>QA76.76.D47</v>
      </c>
      <c r="Z642" t="str">
        <f t="shared" si="264"/>
        <v>2018/08/11 13:34:38</v>
      </c>
      <c r="AA642" t="str">
        <f t="shared" si="243"/>
        <v>catc</v>
      </c>
      <c r="AC642" t="str">
        <f>("G212")</f>
        <v>G212</v>
      </c>
      <c r="AE642" t="str">
        <f t="shared" si="261"/>
        <v>c.1</v>
      </c>
      <c r="AF642" t="str">
        <f t="shared" si="255"/>
        <v>1.可借圖書</v>
      </c>
      <c r="AG642" t="str">
        <f t="shared" si="266"/>
        <v>在架</v>
      </c>
      <c r="AI642" t="s">
        <v>65</v>
      </c>
      <c r="AK642" t="str">
        <f t="shared" si="244"/>
        <v>一般(Normal)</v>
      </c>
      <c r="AO642" t="s">
        <v>65</v>
      </c>
      <c r="AS642" t="str">
        <f>("c2001. ")</f>
        <v xml:space="preserve">c2001. </v>
      </c>
      <c r="AT642" t="str">
        <f t="shared" si="245"/>
        <v>catc</v>
      </c>
    </row>
    <row r="643" spans="1:46" x14ac:dyDescent="0.25">
      <c r="A643">
        <v>632</v>
      </c>
      <c r="B643" t="str">
        <f>("289484")</f>
        <v>289484</v>
      </c>
      <c r="C643" t="str">
        <f>("W00002668")</f>
        <v>W00002668</v>
      </c>
      <c r="D643" t="str">
        <f>("Flow design for embedded systemsa radical new unified object-oriented methodology /")</f>
        <v>Flow design for embedded systemsa radical new unified object-oriented methodology /</v>
      </c>
      <c r="E643" t="str">
        <f>("Kauler, Barry,1950- ")</f>
        <v xml:space="preserve">Kauler, Barry,1950- </v>
      </c>
      <c r="F643" t="str">
        <f>("R&amp;D Books,")</f>
        <v>R&amp;D Books,</v>
      </c>
      <c r="G643" t="str">
        <f>("2nd ed ")</f>
        <v xml:space="preserve">2nd ed </v>
      </c>
      <c r="H643" t="str">
        <f t="shared" si="249"/>
        <v>圖書 book</v>
      </c>
      <c r="I643" t="str">
        <f>("TK7895 K21 1999")</f>
        <v>TK7895 K21 1999</v>
      </c>
      <c r="J643" t="str">
        <f>("087930555X")</f>
        <v>087930555X</v>
      </c>
      <c r="K643" t="str">
        <f>("1120")</f>
        <v>1120</v>
      </c>
      <c r="L643" t="str">
        <f t="shared" si="246"/>
        <v>2001/10/10 00:00:00</v>
      </c>
      <c r="M643" t="str">
        <f t="shared" si="263"/>
        <v>2018/08/11 13:34:38</v>
      </c>
      <c r="N643" t="str">
        <f>("1999")</f>
        <v>1999</v>
      </c>
      <c r="O643" t="str">
        <f t="shared" si="265"/>
        <v>4F西文書庫 4F Western Language Books</v>
      </c>
      <c r="P643" t="s">
        <v>64</v>
      </c>
      <c r="S643" t="str">
        <f>("x, 275 p. :")</f>
        <v>x, 275 p. :</v>
      </c>
      <c r="T643" t="str">
        <f>("ill. ;")</f>
        <v>ill. ;</v>
      </c>
      <c r="U643" t="str">
        <f>("23 cm. +")</f>
        <v>23 cm. +</v>
      </c>
      <c r="V643" t="str">
        <f>("1 computer disc (3 1/2 in.)")</f>
        <v>1 computer disc (3 1/2 in.)</v>
      </c>
      <c r="W643" t="str">
        <f t="shared" si="262"/>
        <v>美國國會圖書分類法</v>
      </c>
      <c r="Y643" t="str">
        <f>("TK7895")</f>
        <v>TK7895</v>
      </c>
      <c r="Z643" t="str">
        <f t="shared" si="264"/>
        <v>2018/08/11 13:34:38</v>
      </c>
      <c r="AA643" t="str">
        <f t="shared" si="243"/>
        <v>catc</v>
      </c>
      <c r="AC643" t="str">
        <f>("K21")</f>
        <v>K21</v>
      </c>
      <c r="AE643" t="str">
        <f t="shared" si="261"/>
        <v>c.1</v>
      </c>
      <c r="AF643" t="str">
        <f t="shared" si="255"/>
        <v>1.可借圖書</v>
      </c>
      <c r="AG643" t="str">
        <f t="shared" si="266"/>
        <v>在架</v>
      </c>
      <c r="AI643" t="s">
        <v>65</v>
      </c>
      <c r="AK643" t="str">
        <f t="shared" si="244"/>
        <v>一般(Normal)</v>
      </c>
      <c r="AO643" t="s">
        <v>65</v>
      </c>
      <c r="AS643" t="str">
        <f>("c1999, 1997 ")</f>
        <v xml:space="preserve">c1999, 1997 </v>
      </c>
      <c r="AT643" t="str">
        <f t="shared" si="245"/>
        <v>catc</v>
      </c>
    </row>
    <row r="644" spans="1:46" x14ac:dyDescent="0.25">
      <c r="A644">
        <v>633</v>
      </c>
      <c r="B644" t="str">
        <f>("289485")</f>
        <v>289485</v>
      </c>
      <c r="C644" t="str">
        <f>("W00002669")</f>
        <v>W00002669</v>
      </c>
      <c r="D644" t="str">
        <f>("Data on the web : from relations to semistructured data and XML / ")</f>
        <v xml:space="preserve">Data on the web : from relations to semistructured data and XML / </v>
      </c>
      <c r="E644" t="str">
        <f>("Abiteboul, S. ")</f>
        <v xml:space="preserve">Abiteboul, S. </v>
      </c>
      <c r="F644" t="str">
        <f>("Morgan Kaufmann, ")</f>
        <v xml:space="preserve">Morgan Kaufmann, </v>
      </c>
      <c r="H644" t="str">
        <f t="shared" si="249"/>
        <v>圖書 book</v>
      </c>
      <c r="I644" t="str">
        <f>("QA76.9.D3 A148 1999")</f>
        <v>QA76.9.D3 A148 1999</v>
      </c>
      <c r="J644" t="str">
        <f>("155860622X")</f>
        <v>155860622X</v>
      </c>
      <c r="K644" t="str">
        <f>("1000")</f>
        <v>1000</v>
      </c>
      <c r="L644" t="str">
        <f t="shared" si="246"/>
        <v>2001/10/10 00:00:00</v>
      </c>
      <c r="M644" t="str">
        <f t="shared" ref="M644:M654" si="267">("2018/08/11 13:34:39")</f>
        <v>2018/08/11 13:34:39</v>
      </c>
      <c r="N644" t="str">
        <f>("1999")</f>
        <v>1999</v>
      </c>
      <c r="O644" t="str">
        <f t="shared" si="265"/>
        <v>4F西文書庫 4F Western Language Books</v>
      </c>
      <c r="P644" t="s">
        <v>64</v>
      </c>
      <c r="W644" t="str">
        <f t="shared" si="262"/>
        <v>美國國會圖書分類法</v>
      </c>
      <c r="Y644" t="str">
        <f>("QA76.9.D3")</f>
        <v>QA76.9.D3</v>
      </c>
      <c r="Z644" t="str">
        <f t="shared" ref="Z644:Z655" si="268">("2018/08/11 13:34:39")</f>
        <v>2018/08/11 13:34:39</v>
      </c>
      <c r="AA644" t="str">
        <f t="shared" si="243"/>
        <v>catc</v>
      </c>
      <c r="AC644" t="str">
        <f>("A148")</f>
        <v>A148</v>
      </c>
      <c r="AE644" t="str">
        <f t="shared" si="261"/>
        <v>c.1</v>
      </c>
      <c r="AF644" t="str">
        <f t="shared" si="255"/>
        <v>1.可借圖書</v>
      </c>
      <c r="AG644" t="str">
        <f t="shared" si="266"/>
        <v>在架</v>
      </c>
      <c r="AI644" t="s">
        <v>65</v>
      </c>
      <c r="AK644" t="str">
        <f t="shared" si="244"/>
        <v>一般(Normal)</v>
      </c>
      <c r="AO644" t="s">
        <v>65</v>
      </c>
      <c r="AS644" t="str">
        <f>("1999. ")</f>
        <v xml:space="preserve">1999. </v>
      </c>
      <c r="AT644" t="str">
        <f t="shared" si="245"/>
        <v>catc</v>
      </c>
    </row>
    <row r="645" spans="1:46" x14ac:dyDescent="0.25">
      <c r="A645">
        <v>634</v>
      </c>
      <c r="B645" t="str">
        <f>("289473")</f>
        <v>289473</v>
      </c>
      <c r="C645" t="str">
        <f>("W00002670")</f>
        <v>W00002670</v>
      </c>
      <c r="D645" t="str">
        <f>("The practice of programming / ")</f>
        <v xml:space="preserve">The practice of programming / </v>
      </c>
      <c r="E645" t="str">
        <f>("Kernighan, Brian W. ")</f>
        <v xml:space="preserve">Kernighan, Brian W. </v>
      </c>
      <c r="F645" t="str">
        <f>("Addison-Wesley, ")</f>
        <v xml:space="preserve">Addison-Wesley, </v>
      </c>
      <c r="H645" t="str">
        <f t="shared" si="249"/>
        <v>圖書 book</v>
      </c>
      <c r="I645" t="str">
        <f>("QA76.6 K39 1999")</f>
        <v>QA76.6 K39 1999</v>
      </c>
      <c r="J645" t="str">
        <f>("020161586X")</f>
        <v>020161586X</v>
      </c>
      <c r="K645" t="str">
        <f>("520")</f>
        <v>520</v>
      </c>
      <c r="L645" t="str">
        <f t="shared" si="246"/>
        <v>2001/10/10 00:00:00</v>
      </c>
      <c r="M645" t="str">
        <f t="shared" si="267"/>
        <v>2018/08/11 13:34:39</v>
      </c>
      <c r="N645" t="str">
        <f>("1999")</f>
        <v>1999</v>
      </c>
      <c r="O645" t="str">
        <f t="shared" si="265"/>
        <v>4F西文書庫 4F Western Language Books</v>
      </c>
      <c r="P645" t="s">
        <v>64</v>
      </c>
      <c r="W645" t="str">
        <f t="shared" si="262"/>
        <v>美國國會圖書分類法</v>
      </c>
      <c r="Y645" t="str">
        <f>("QA76.6")</f>
        <v>QA76.6</v>
      </c>
      <c r="Z645" t="str">
        <f t="shared" si="268"/>
        <v>2018/08/11 13:34:39</v>
      </c>
      <c r="AA645" t="str">
        <f t="shared" si="243"/>
        <v>catc</v>
      </c>
      <c r="AC645" t="str">
        <f>("K39")</f>
        <v>K39</v>
      </c>
      <c r="AE645" t="str">
        <f t="shared" si="261"/>
        <v>c.1</v>
      </c>
      <c r="AF645" t="str">
        <f t="shared" si="255"/>
        <v>1.可借圖書</v>
      </c>
      <c r="AG645" t="str">
        <f t="shared" si="266"/>
        <v>在架</v>
      </c>
      <c r="AI645" t="s">
        <v>65</v>
      </c>
      <c r="AK645" t="str">
        <f t="shared" si="244"/>
        <v>一般(Normal)</v>
      </c>
      <c r="AO645" t="s">
        <v>65</v>
      </c>
      <c r="AS645" t="str">
        <f>("c1999. ")</f>
        <v xml:space="preserve">c1999. </v>
      </c>
      <c r="AT645" t="str">
        <f t="shared" si="245"/>
        <v>catc</v>
      </c>
    </row>
    <row r="646" spans="1:46" x14ac:dyDescent="0.25">
      <c r="A646">
        <v>635</v>
      </c>
      <c r="B646" t="str">
        <f>("289474")</f>
        <v>289474</v>
      </c>
      <c r="C646" t="str">
        <f>("W00002671")</f>
        <v>W00002671</v>
      </c>
      <c r="D646" t="str">
        <f>("Practical internet groupware / ")</f>
        <v xml:space="preserve">Practical internet groupware / </v>
      </c>
      <c r="E646" t="str">
        <f>("Udell, Jon G. ")</f>
        <v xml:space="preserve">Udell, Jon G. </v>
      </c>
      <c r="F646" t="str">
        <f>("O'Reilly, ")</f>
        <v xml:space="preserve">O'Reilly, </v>
      </c>
      <c r="G646" t="str">
        <f>("1st ed. ")</f>
        <v xml:space="preserve">1st ed. </v>
      </c>
      <c r="H646" t="str">
        <f t="shared" si="249"/>
        <v>圖書 book</v>
      </c>
      <c r="I646" t="str">
        <f>("QA76.625 U19 1999")</f>
        <v>QA76.625 U19 1999</v>
      </c>
      <c r="J646" t="str">
        <f>("1565925378")</f>
        <v>1565925378</v>
      </c>
      <c r="K646" t="str">
        <f>("840")</f>
        <v>840</v>
      </c>
      <c r="L646" t="str">
        <f t="shared" si="246"/>
        <v>2001/10/10 00:00:00</v>
      </c>
      <c r="M646" t="str">
        <f t="shared" si="267"/>
        <v>2018/08/11 13:34:39</v>
      </c>
      <c r="N646" t="str">
        <f>("1999")</f>
        <v>1999</v>
      </c>
      <c r="O646" t="str">
        <f t="shared" si="265"/>
        <v>4F西文書庫 4F Western Language Books</v>
      </c>
      <c r="P646" t="s">
        <v>64</v>
      </c>
      <c r="W646" t="str">
        <f t="shared" si="262"/>
        <v>美國國會圖書分類法</v>
      </c>
      <c r="Y646" t="str">
        <f>("QA76.625")</f>
        <v>QA76.625</v>
      </c>
      <c r="Z646" t="str">
        <f t="shared" si="268"/>
        <v>2018/08/11 13:34:39</v>
      </c>
      <c r="AA646" t="str">
        <f t="shared" si="243"/>
        <v>catc</v>
      </c>
      <c r="AC646" t="str">
        <f>("U19")</f>
        <v>U19</v>
      </c>
      <c r="AE646" t="str">
        <f t="shared" si="261"/>
        <v>c.1</v>
      </c>
      <c r="AF646" t="str">
        <f t="shared" si="255"/>
        <v>1.可借圖書</v>
      </c>
      <c r="AG646" t="str">
        <f t="shared" si="266"/>
        <v>在架</v>
      </c>
      <c r="AI646" t="s">
        <v>65</v>
      </c>
      <c r="AK646" t="str">
        <f t="shared" si="244"/>
        <v>一般(Normal)</v>
      </c>
      <c r="AO646" t="s">
        <v>65</v>
      </c>
      <c r="AS646" t="str">
        <f>("c1999. ")</f>
        <v xml:space="preserve">c1999. </v>
      </c>
      <c r="AT646" t="str">
        <f t="shared" si="245"/>
        <v>catc</v>
      </c>
    </row>
    <row r="647" spans="1:46" x14ac:dyDescent="0.25">
      <c r="A647">
        <v>636</v>
      </c>
      <c r="B647" t="str">
        <f>("289475")</f>
        <v>289475</v>
      </c>
      <c r="C647" t="str">
        <f>("W00002672")</f>
        <v>W00002672</v>
      </c>
      <c r="D647" t="str">
        <f>("Practical C++ programming / ")</f>
        <v xml:space="preserve">Practical C++ programming / </v>
      </c>
      <c r="E647" t="str">
        <f>("Oualline, Steve. ")</f>
        <v xml:space="preserve">Oualline, Steve. </v>
      </c>
      <c r="F647" t="str">
        <f>("Reilly &amp; Associates, ")</f>
        <v xml:space="preserve">Reilly &amp; Associates, </v>
      </c>
      <c r="G647" t="str">
        <f>("1st ed. ")</f>
        <v xml:space="preserve">1st ed. </v>
      </c>
      <c r="H647" t="str">
        <f t="shared" si="249"/>
        <v>圖書 book</v>
      </c>
      <c r="I647" t="str">
        <f>("QA76.73.C153 O93 1995")</f>
        <v>QA76.73.C153 O93 1995</v>
      </c>
      <c r="J647" t="str">
        <f>("1565921399")</f>
        <v>1565921399</v>
      </c>
      <c r="K647" t="str">
        <f>("984")</f>
        <v>984</v>
      </c>
      <c r="L647" t="str">
        <f t="shared" si="246"/>
        <v>2001/10/10 00:00:00</v>
      </c>
      <c r="M647" t="str">
        <f t="shared" si="267"/>
        <v>2018/08/11 13:34:39</v>
      </c>
      <c r="N647" t="str">
        <f>("1995")</f>
        <v>1995</v>
      </c>
      <c r="O647" t="str">
        <f t="shared" si="265"/>
        <v>4F西文書庫 4F Western Language Books</v>
      </c>
      <c r="P647" t="s">
        <v>64</v>
      </c>
      <c r="W647" t="str">
        <f t="shared" si="262"/>
        <v>美國國會圖書分類法</v>
      </c>
      <c r="Y647" t="str">
        <f>("QA76.73.C153")</f>
        <v>QA76.73.C153</v>
      </c>
      <c r="Z647" t="str">
        <f t="shared" si="268"/>
        <v>2018/08/11 13:34:39</v>
      </c>
      <c r="AA647" t="str">
        <f t="shared" si="243"/>
        <v>catc</v>
      </c>
      <c r="AC647" t="str">
        <f>("O93")</f>
        <v>O93</v>
      </c>
      <c r="AE647" t="str">
        <f t="shared" si="261"/>
        <v>c.1</v>
      </c>
      <c r="AF647" t="str">
        <f t="shared" si="255"/>
        <v>1.可借圖書</v>
      </c>
      <c r="AG647" t="str">
        <f t="shared" si="266"/>
        <v>在架</v>
      </c>
      <c r="AI647" t="s">
        <v>65</v>
      </c>
      <c r="AK647" t="str">
        <f t="shared" si="244"/>
        <v>一般(Normal)</v>
      </c>
      <c r="AO647" t="s">
        <v>65</v>
      </c>
      <c r="AS647" t="str">
        <f>("1995. ")</f>
        <v xml:space="preserve">1995. </v>
      </c>
      <c r="AT647" t="str">
        <f t="shared" si="245"/>
        <v>catc</v>
      </c>
    </row>
    <row r="648" spans="1:46" x14ac:dyDescent="0.25">
      <c r="A648">
        <v>637</v>
      </c>
      <c r="B648" t="str">
        <f>("289476")</f>
        <v>289476</v>
      </c>
      <c r="C648" t="str">
        <f>("W00002673")</f>
        <v>W00002673</v>
      </c>
      <c r="D648" t="str">
        <f>("Practical Java : programming language guide / ")</f>
        <v xml:space="preserve">Practical Java : programming language guide / </v>
      </c>
      <c r="E648" t="str">
        <f>("Haggar, Peter, 1965- ")</f>
        <v xml:space="preserve">Haggar, Peter, 1965- </v>
      </c>
      <c r="F648" t="str">
        <f>("Addison-Wesley, ")</f>
        <v xml:space="preserve">Addison-Wesley, </v>
      </c>
      <c r="H648" t="str">
        <f t="shared" si="249"/>
        <v>圖書 book</v>
      </c>
      <c r="I648" t="str">
        <f>("QA76.73.J38 H145 2000")</f>
        <v>QA76.73.J38 H145 2000</v>
      </c>
      <c r="J648" t="str">
        <f>("0201616467")</f>
        <v>0201616467</v>
      </c>
      <c r="K648" t="str">
        <f>("928")</f>
        <v>928</v>
      </c>
      <c r="L648" t="str">
        <f t="shared" si="246"/>
        <v>2001/10/10 00:00:00</v>
      </c>
      <c r="M648" t="str">
        <f t="shared" si="267"/>
        <v>2018/08/11 13:34:39</v>
      </c>
      <c r="N648" t="str">
        <f>("2000")</f>
        <v>2000</v>
      </c>
      <c r="O648" t="str">
        <f t="shared" si="265"/>
        <v>4F西文書庫 4F Western Language Books</v>
      </c>
      <c r="P648" t="s">
        <v>64</v>
      </c>
      <c r="W648" t="str">
        <f t="shared" si="262"/>
        <v>美國國會圖書分類法</v>
      </c>
      <c r="Y648" t="str">
        <f>("QA76.73.J38")</f>
        <v>QA76.73.J38</v>
      </c>
      <c r="Z648" t="str">
        <f t="shared" si="268"/>
        <v>2018/08/11 13:34:39</v>
      </c>
      <c r="AA648" t="str">
        <f t="shared" si="243"/>
        <v>catc</v>
      </c>
      <c r="AC648" t="str">
        <f>("H145")</f>
        <v>H145</v>
      </c>
      <c r="AE648" t="str">
        <f t="shared" si="261"/>
        <v>c.1</v>
      </c>
      <c r="AF648" t="str">
        <f t="shared" si="255"/>
        <v>1.可借圖書</v>
      </c>
      <c r="AG648" t="str">
        <f t="shared" si="266"/>
        <v>在架</v>
      </c>
      <c r="AI648" t="s">
        <v>65</v>
      </c>
      <c r="AK648" t="str">
        <f t="shared" si="244"/>
        <v>一般(Normal)</v>
      </c>
      <c r="AO648" t="s">
        <v>65</v>
      </c>
      <c r="AS648" t="str">
        <f>("c2000. ")</f>
        <v xml:space="preserve">c2000. </v>
      </c>
      <c r="AT648" t="str">
        <f t="shared" si="245"/>
        <v>catc</v>
      </c>
    </row>
    <row r="649" spans="1:46" x14ac:dyDescent="0.25">
      <c r="A649">
        <v>638</v>
      </c>
      <c r="B649" t="str">
        <f>("289477")</f>
        <v>289477</v>
      </c>
      <c r="C649" t="str">
        <f>("W00002674")</f>
        <v>W00002674</v>
      </c>
      <c r="D649" t="str">
        <f>("Understanding directory services / ")</f>
        <v xml:space="preserve">Understanding directory services / </v>
      </c>
      <c r="E649" t="str">
        <f>("Sheresh, Beth. ")</f>
        <v xml:space="preserve">Sheresh, Beth. </v>
      </c>
      <c r="F649" t="str">
        <f>("New Riders Publishing, ")</f>
        <v xml:space="preserve">New Riders Publishing, </v>
      </c>
      <c r="G649" t="str">
        <f>("1st ed. ")</f>
        <v xml:space="preserve">1st ed. </v>
      </c>
      <c r="H649" t="str">
        <f t="shared" si="249"/>
        <v>圖書 book</v>
      </c>
      <c r="I649" t="str">
        <f>("TK5105.595 S551 1999")</f>
        <v>TK5105.595 S551 1999</v>
      </c>
      <c r="J649" t="str">
        <f>("0735709106")</f>
        <v>0735709106</v>
      </c>
      <c r="K649" t="str">
        <f>("1120")</f>
        <v>1120</v>
      </c>
      <c r="L649" t="str">
        <f t="shared" si="246"/>
        <v>2001/10/10 00:00:00</v>
      </c>
      <c r="M649" t="str">
        <f t="shared" si="267"/>
        <v>2018/08/11 13:34:39</v>
      </c>
      <c r="N649" t="str">
        <f>("1999")</f>
        <v>1999</v>
      </c>
      <c r="O649" t="str">
        <f t="shared" si="265"/>
        <v>4F西文書庫 4F Western Language Books</v>
      </c>
      <c r="P649" t="s">
        <v>64</v>
      </c>
      <c r="W649" t="str">
        <f t="shared" si="262"/>
        <v>美國國會圖書分類法</v>
      </c>
      <c r="Y649" t="str">
        <f>("TK5105.595")</f>
        <v>TK5105.595</v>
      </c>
      <c r="Z649" t="str">
        <f t="shared" si="268"/>
        <v>2018/08/11 13:34:39</v>
      </c>
      <c r="AA649" t="str">
        <f t="shared" si="243"/>
        <v>catc</v>
      </c>
      <c r="AC649" t="str">
        <f>("S551")</f>
        <v>S551</v>
      </c>
      <c r="AE649" t="str">
        <f t="shared" si="261"/>
        <v>c.1</v>
      </c>
      <c r="AF649" t="str">
        <f t="shared" si="255"/>
        <v>1.可借圖書</v>
      </c>
      <c r="AG649" t="str">
        <f t="shared" si="266"/>
        <v>在架</v>
      </c>
      <c r="AI649" t="s">
        <v>65</v>
      </c>
      <c r="AK649" t="str">
        <f t="shared" si="244"/>
        <v>一般(Normal)</v>
      </c>
      <c r="AO649" t="s">
        <v>65</v>
      </c>
      <c r="AS649" t="str">
        <f>("1999. ")</f>
        <v xml:space="preserve">1999. </v>
      </c>
      <c r="AT649" t="str">
        <f t="shared" si="245"/>
        <v>catc</v>
      </c>
    </row>
    <row r="650" spans="1:46" x14ac:dyDescent="0.25">
      <c r="A650">
        <v>639</v>
      </c>
      <c r="B650" t="str">
        <f>("289478")</f>
        <v>289478</v>
      </c>
      <c r="C650" t="str">
        <f>("W00002675")</f>
        <v>W00002675</v>
      </c>
      <c r="D650" t="str">
        <f>("Pure Java Server pages / ")</f>
        <v xml:space="preserve">Pure Java Server pages / </v>
      </c>
      <c r="E650" t="str">
        <f>("Goodwill, James. ")</f>
        <v xml:space="preserve">Goodwill, James. </v>
      </c>
      <c r="F650" t="str">
        <f>("Sams, ")</f>
        <v xml:space="preserve">Sams, </v>
      </c>
      <c r="H650" t="str">
        <f t="shared" si="249"/>
        <v>圖書 book</v>
      </c>
      <c r="I650" t="str">
        <f>("QA76.73 G157 2000")</f>
        <v>QA76.73 G157 2000</v>
      </c>
      <c r="J650" t="str">
        <f>("0672319020")</f>
        <v>0672319020</v>
      </c>
      <c r="K650" t="str">
        <f>("984")</f>
        <v>984</v>
      </c>
      <c r="L650" t="str">
        <f t="shared" si="246"/>
        <v>2001/10/10 00:00:00</v>
      </c>
      <c r="M650" t="str">
        <f t="shared" si="267"/>
        <v>2018/08/11 13:34:39</v>
      </c>
      <c r="N650" t="str">
        <f>("2000")</f>
        <v>2000</v>
      </c>
      <c r="O650" t="str">
        <f t="shared" si="265"/>
        <v>4F西文書庫 4F Western Language Books</v>
      </c>
      <c r="P650" t="s">
        <v>64</v>
      </c>
      <c r="W650" t="str">
        <f t="shared" si="262"/>
        <v>美國國會圖書分類法</v>
      </c>
      <c r="Y650" t="str">
        <f>("QA76.73")</f>
        <v>QA76.73</v>
      </c>
      <c r="Z650" t="str">
        <f t="shared" si="268"/>
        <v>2018/08/11 13:34:39</v>
      </c>
      <c r="AA650" t="str">
        <f t="shared" si="243"/>
        <v>catc</v>
      </c>
      <c r="AC650" t="str">
        <f>("G157")</f>
        <v>G157</v>
      </c>
      <c r="AE650" t="str">
        <f t="shared" si="261"/>
        <v>c.1</v>
      </c>
      <c r="AF650" t="str">
        <f t="shared" si="255"/>
        <v>1.可借圖書</v>
      </c>
      <c r="AG650" t="str">
        <f t="shared" si="266"/>
        <v>在架</v>
      </c>
      <c r="AI650" t="s">
        <v>65</v>
      </c>
      <c r="AK650" t="str">
        <f t="shared" si="244"/>
        <v>一般(Normal)</v>
      </c>
      <c r="AO650" t="s">
        <v>65</v>
      </c>
      <c r="AS650" t="str">
        <f>("2000. ")</f>
        <v xml:space="preserve">2000. </v>
      </c>
      <c r="AT650" t="str">
        <f t="shared" si="245"/>
        <v>catc</v>
      </c>
    </row>
    <row r="651" spans="1:46" x14ac:dyDescent="0.25">
      <c r="A651">
        <v>640</v>
      </c>
      <c r="B651" t="str">
        <f>("289479")</f>
        <v>289479</v>
      </c>
      <c r="C651" t="str">
        <f>("W00002676")</f>
        <v>W00002676</v>
      </c>
      <c r="D651" t="str">
        <f>("Understanding the network : a practical guide to internetworking / ")</f>
        <v xml:space="preserve">Understanding the network : a practical guide to internetworking / </v>
      </c>
      <c r="E651" t="str">
        <f>("Martin, Michael J. ")</f>
        <v xml:space="preserve">Martin, Michael J. </v>
      </c>
      <c r="F651" t="str">
        <f>("New Riders, ")</f>
        <v xml:space="preserve">New Riders, </v>
      </c>
      <c r="H651" t="str">
        <f t="shared" si="249"/>
        <v>圖書 book</v>
      </c>
      <c r="I651" t="str">
        <f>("TK5105.5 M379 2000")</f>
        <v>TK5105.5 M379 2000</v>
      </c>
      <c r="J651" t="str">
        <f>("0735709777")</f>
        <v>0735709777</v>
      </c>
      <c r="K651" t="str">
        <f>("1264")</f>
        <v>1264</v>
      </c>
      <c r="L651" t="str">
        <f t="shared" si="246"/>
        <v>2001/10/10 00:00:00</v>
      </c>
      <c r="M651" t="str">
        <f t="shared" si="267"/>
        <v>2018/08/11 13:34:39</v>
      </c>
      <c r="N651" t="str">
        <f>("2000")</f>
        <v>2000</v>
      </c>
      <c r="O651" t="str">
        <f t="shared" si="265"/>
        <v>4F西文書庫 4F Western Language Books</v>
      </c>
      <c r="P651" t="s">
        <v>64</v>
      </c>
      <c r="W651" t="str">
        <f t="shared" si="262"/>
        <v>美國國會圖書分類法</v>
      </c>
      <c r="Y651" t="str">
        <f>("TK5105.5")</f>
        <v>TK5105.5</v>
      </c>
      <c r="Z651" t="str">
        <f t="shared" si="268"/>
        <v>2018/08/11 13:34:39</v>
      </c>
      <c r="AA651" t="str">
        <f t="shared" si="243"/>
        <v>catc</v>
      </c>
      <c r="AC651" t="str">
        <f>("M379")</f>
        <v>M379</v>
      </c>
      <c r="AE651" t="str">
        <f t="shared" si="261"/>
        <v>c.1</v>
      </c>
      <c r="AF651" t="str">
        <f t="shared" si="255"/>
        <v>1.可借圖書</v>
      </c>
      <c r="AG651" t="str">
        <f t="shared" si="266"/>
        <v>在架</v>
      </c>
      <c r="AI651" t="s">
        <v>65</v>
      </c>
      <c r="AK651" t="str">
        <f t="shared" si="244"/>
        <v>一般(Normal)</v>
      </c>
      <c r="AO651" t="s">
        <v>65</v>
      </c>
      <c r="AS651" t="str">
        <f>("c2000. ")</f>
        <v xml:space="preserve">c2000. </v>
      </c>
      <c r="AT651" t="str">
        <f t="shared" si="245"/>
        <v>catc</v>
      </c>
    </row>
    <row r="652" spans="1:46" x14ac:dyDescent="0.25">
      <c r="A652">
        <v>641</v>
      </c>
      <c r="B652" t="str">
        <f>("289480")</f>
        <v>289480</v>
      </c>
      <c r="C652" t="str">
        <f>("W00002677")</f>
        <v>W00002677</v>
      </c>
      <c r="D652" t="str">
        <f>("C/C++ annotated archives /")</f>
        <v>C/C++ annotated archives /</v>
      </c>
      <c r="E652" t="str">
        <f>("Friedman, Art")</f>
        <v>Friedman, Art</v>
      </c>
      <c r="F652" t="str">
        <f>("Osborne/McGraw-Hill,")</f>
        <v>Osborne/McGraw-Hill,</v>
      </c>
      <c r="H652" t="str">
        <f t="shared" si="249"/>
        <v>圖書 book</v>
      </c>
      <c r="I652" t="str">
        <f>("QA76.73.C15 F911 1999")</f>
        <v>QA76.73.C15 F911 1999</v>
      </c>
      <c r="J652" t="str">
        <f>("0078825040")</f>
        <v>0078825040</v>
      </c>
      <c r="K652" t="str">
        <f>("1400")</f>
        <v>1400</v>
      </c>
      <c r="L652" t="str">
        <f t="shared" si="246"/>
        <v>2001/10/10 00:00:00</v>
      </c>
      <c r="M652" t="str">
        <f t="shared" si="267"/>
        <v>2018/08/11 13:34:39</v>
      </c>
      <c r="N652" t="str">
        <f>("1999")</f>
        <v>1999</v>
      </c>
      <c r="O652" t="str">
        <f t="shared" si="265"/>
        <v>4F西文書庫 4F Western Language Books</v>
      </c>
      <c r="P652" t="s">
        <v>64</v>
      </c>
      <c r="W652" t="str">
        <f t="shared" si="262"/>
        <v>美國國會圖書分類法</v>
      </c>
      <c r="Y652" t="str">
        <f>("QA76.73.C15")</f>
        <v>QA76.73.C15</v>
      </c>
      <c r="Z652" t="str">
        <f t="shared" si="268"/>
        <v>2018/08/11 13:34:39</v>
      </c>
      <c r="AA652" t="str">
        <f t="shared" ref="AA652:AA715" si="269">("catc")</f>
        <v>catc</v>
      </c>
      <c r="AC652" t="str">
        <f>("F911")</f>
        <v>F911</v>
      </c>
      <c r="AE652" t="str">
        <f t="shared" si="261"/>
        <v>c.1</v>
      </c>
      <c r="AF652" t="str">
        <f t="shared" si="255"/>
        <v>1.可借圖書</v>
      </c>
      <c r="AG652" t="str">
        <f t="shared" si="266"/>
        <v>在架</v>
      </c>
      <c r="AI652" t="s">
        <v>65</v>
      </c>
      <c r="AK652" t="str">
        <f t="shared" ref="AK652:AK715" si="270">("一般(Normal)")</f>
        <v>一般(Normal)</v>
      </c>
      <c r="AO652" t="s">
        <v>65</v>
      </c>
      <c r="AS652" t="str">
        <f>("c1999 ")</f>
        <v xml:space="preserve">c1999 </v>
      </c>
      <c r="AT652" t="str">
        <f t="shared" ref="AT652:AT715" si="271">("catc")</f>
        <v>catc</v>
      </c>
    </row>
    <row r="653" spans="1:46" x14ac:dyDescent="0.25">
      <c r="A653">
        <v>642</v>
      </c>
      <c r="B653" t="str">
        <f>("289486")</f>
        <v>289486</v>
      </c>
      <c r="C653" t="str">
        <f>("W00002678")</f>
        <v>W00002678</v>
      </c>
      <c r="D653" t="str">
        <f>("Real-time programming : a guide to 32-bit embedded development / ")</f>
        <v xml:space="preserve">Real-time programming : a guide to 32-bit embedded development / </v>
      </c>
      <c r="E653" t="str">
        <f>("Grehan, Rick. ")</f>
        <v xml:space="preserve">Grehan, Rick. </v>
      </c>
      <c r="F653" t="str">
        <f>("Addison-Wesley, ")</f>
        <v xml:space="preserve">Addison-Wesley, </v>
      </c>
      <c r="H653" t="str">
        <f t="shared" si="249"/>
        <v>圖書 book</v>
      </c>
      <c r="I653" t="str">
        <f>("QA76.54 G786 1998")</f>
        <v>QA76.54 G786 1998</v>
      </c>
      <c r="J653" t="str">
        <f>("0201485400")</f>
        <v>0201485400</v>
      </c>
      <c r="K653" t="str">
        <f>("1400")</f>
        <v>1400</v>
      </c>
      <c r="L653" t="str">
        <f t="shared" si="246"/>
        <v>2001/10/10 00:00:00</v>
      </c>
      <c r="M653" t="str">
        <f t="shared" si="267"/>
        <v>2018/08/11 13:34:39</v>
      </c>
      <c r="N653" t="str">
        <f>("1998")</f>
        <v>1998</v>
      </c>
      <c r="O653" t="str">
        <f t="shared" si="265"/>
        <v>4F西文書庫 4F Western Language Books</v>
      </c>
      <c r="P653" t="s">
        <v>64</v>
      </c>
      <c r="W653" t="str">
        <f t="shared" si="262"/>
        <v>美國國會圖書分類法</v>
      </c>
      <c r="Y653" t="str">
        <f>("QA76.54")</f>
        <v>QA76.54</v>
      </c>
      <c r="Z653" t="str">
        <f t="shared" si="268"/>
        <v>2018/08/11 13:34:39</v>
      </c>
      <c r="AA653" t="str">
        <f t="shared" si="269"/>
        <v>catc</v>
      </c>
      <c r="AC653" t="str">
        <f>("G786")</f>
        <v>G786</v>
      </c>
      <c r="AE653" t="str">
        <f t="shared" si="261"/>
        <v>c.1</v>
      </c>
      <c r="AF653" t="str">
        <f t="shared" si="255"/>
        <v>1.可借圖書</v>
      </c>
      <c r="AG653" t="str">
        <f t="shared" si="266"/>
        <v>在架</v>
      </c>
      <c r="AI653" t="s">
        <v>65</v>
      </c>
      <c r="AK653" t="str">
        <f t="shared" si="270"/>
        <v>一般(Normal)</v>
      </c>
      <c r="AO653" t="s">
        <v>65</v>
      </c>
      <c r="AS653" t="str">
        <f>("c1998. ")</f>
        <v xml:space="preserve">c1998. </v>
      </c>
      <c r="AT653" t="str">
        <f t="shared" si="271"/>
        <v>catc</v>
      </c>
    </row>
    <row r="654" spans="1:46" x14ac:dyDescent="0.25">
      <c r="A654">
        <v>643</v>
      </c>
      <c r="B654" t="str">
        <f>("289487")</f>
        <v>289487</v>
      </c>
      <c r="C654" t="str">
        <f>("W00002679")</f>
        <v>W00002679</v>
      </c>
      <c r="D654" t="str">
        <f>("Applying COM+ / ")</f>
        <v xml:space="preserve">Applying COM+ / </v>
      </c>
      <c r="E654" t="str">
        <f>("Brill, Gregory. ")</f>
        <v xml:space="preserve">Brill, Gregory. </v>
      </c>
      <c r="F654" t="str">
        <f>("New Riders, ")</f>
        <v xml:space="preserve">New Riders, </v>
      </c>
      <c r="G654" t="str">
        <f>("1st. ed. ")</f>
        <v xml:space="preserve">1st. ed. </v>
      </c>
      <c r="H654" t="str">
        <f t="shared" si="249"/>
        <v>圖書 book</v>
      </c>
      <c r="I654" t="str">
        <f>("QA76.9.A73 B857 2001")</f>
        <v>QA76.9.A73 B857 2001</v>
      </c>
      <c r="J654" t="str">
        <f>("0735709785")</f>
        <v>0735709785</v>
      </c>
      <c r="K654" t="str">
        <f>("1400")</f>
        <v>1400</v>
      </c>
      <c r="L654" t="str">
        <f t="shared" ref="L654:L683" si="272">("2001/10/10 00:00:00")</f>
        <v>2001/10/10 00:00:00</v>
      </c>
      <c r="M654" t="str">
        <f t="shared" si="267"/>
        <v>2018/08/11 13:34:39</v>
      </c>
      <c r="N654" t="str">
        <f>("2001")</f>
        <v>2001</v>
      </c>
      <c r="O654" t="str">
        <f t="shared" si="265"/>
        <v>4F西文書庫 4F Western Language Books</v>
      </c>
      <c r="P654" t="s">
        <v>64</v>
      </c>
      <c r="W654" t="str">
        <f t="shared" si="262"/>
        <v>美國國會圖書分類法</v>
      </c>
      <c r="Y654" t="str">
        <f>("QA76.9.A73")</f>
        <v>QA76.9.A73</v>
      </c>
      <c r="Z654" t="str">
        <f t="shared" si="268"/>
        <v>2018/08/11 13:34:39</v>
      </c>
      <c r="AA654" t="str">
        <f t="shared" si="269"/>
        <v>catc</v>
      </c>
      <c r="AC654" t="str">
        <f>("B857")</f>
        <v>B857</v>
      </c>
      <c r="AE654" t="str">
        <f t="shared" si="261"/>
        <v>c.1</v>
      </c>
      <c r="AF654" t="str">
        <f t="shared" si="255"/>
        <v>1.可借圖書</v>
      </c>
      <c r="AG654" t="str">
        <f t="shared" si="266"/>
        <v>在架</v>
      </c>
      <c r="AI654" t="s">
        <v>65</v>
      </c>
      <c r="AK654" t="str">
        <f t="shared" si="270"/>
        <v>一般(Normal)</v>
      </c>
      <c r="AO654" t="s">
        <v>65</v>
      </c>
      <c r="AS654" t="str">
        <f>("2001. ")</f>
        <v xml:space="preserve">2001. </v>
      </c>
      <c r="AT654" t="str">
        <f t="shared" si="271"/>
        <v>catc</v>
      </c>
    </row>
    <row r="655" spans="1:46" x14ac:dyDescent="0.25">
      <c r="A655">
        <v>644</v>
      </c>
      <c r="B655" t="str">
        <f>("289488")</f>
        <v>289488</v>
      </c>
      <c r="C655" t="str">
        <f>("W00002680")</f>
        <v>W00002680</v>
      </c>
      <c r="D655" t="str">
        <f>("Digital audio processing/ ")</f>
        <v xml:space="preserve">Digital audio processing/ </v>
      </c>
      <c r="E655" t="str">
        <f>("Coulter,Doug")</f>
        <v>Coulter,Doug</v>
      </c>
      <c r="F655" t="str">
        <f>("R&amp;D Books, ")</f>
        <v xml:space="preserve">R&amp;D Books, </v>
      </c>
      <c r="H655" t="str">
        <f t="shared" si="249"/>
        <v>圖書 book</v>
      </c>
      <c r="I655" t="str">
        <f>("TK7888.5 C855 2000")</f>
        <v>TK7888.5 C855 2000</v>
      </c>
      <c r="J655" t="str">
        <f>("0879305665")</f>
        <v>0879305665</v>
      </c>
      <c r="K655" t="str">
        <f>("1498")</f>
        <v>1498</v>
      </c>
      <c r="L655" t="str">
        <f t="shared" si="272"/>
        <v>2001/10/10 00:00:00</v>
      </c>
      <c r="M655" t="str">
        <f t="shared" ref="M655:M665" si="273">("2018/08/11 13:34:40")</f>
        <v>2018/08/11 13:34:40</v>
      </c>
      <c r="N655" t="str">
        <f>("2000")</f>
        <v>2000</v>
      </c>
      <c r="O655" t="str">
        <f t="shared" si="265"/>
        <v>4F西文書庫 4F Western Language Books</v>
      </c>
      <c r="P655" t="s">
        <v>64</v>
      </c>
      <c r="W655" t="str">
        <f t="shared" si="262"/>
        <v>美國國會圖書分類法</v>
      </c>
      <c r="Y655" t="str">
        <f>("TK7888.5")</f>
        <v>TK7888.5</v>
      </c>
      <c r="Z655" t="str">
        <f t="shared" si="268"/>
        <v>2018/08/11 13:34:39</v>
      </c>
      <c r="AA655" t="str">
        <f t="shared" si="269"/>
        <v>catc</v>
      </c>
      <c r="AC655" t="str">
        <f>("C855")</f>
        <v>C855</v>
      </c>
      <c r="AE655" t="str">
        <f t="shared" si="261"/>
        <v>c.1</v>
      </c>
      <c r="AF655" t="str">
        <f t="shared" si="255"/>
        <v>1.可借圖書</v>
      </c>
      <c r="AG655" t="str">
        <f t="shared" si="266"/>
        <v>在架</v>
      </c>
      <c r="AI655" t="s">
        <v>65</v>
      </c>
      <c r="AK655" t="str">
        <f t="shared" si="270"/>
        <v>一般(Normal)</v>
      </c>
      <c r="AO655" t="s">
        <v>65</v>
      </c>
      <c r="AS655" t="str">
        <f>("2000")</f>
        <v>2000</v>
      </c>
      <c r="AT655" t="str">
        <f t="shared" si="271"/>
        <v>catc</v>
      </c>
    </row>
    <row r="656" spans="1:46" x14ac:dyDescent="0.25">
      <c r="A656">
        <v>645</v>
      </c>
      <c r="B656" t="str">
        <f>("289489")</f>
        <v>289489</v>
      </c>
      <c r="C656" t="str">
        <f>("W00002681")</f>
        <v>W00002681</v>
      </c>
      <c r="D656" t="str">
        <f>("Essentials of the Java programming language : a hands-on guide / ")</f>
        <v xml:space="preserve">Essentials of the Java programming language : a hands-on guide / </v>
      </c>
      <c r="E656" t="str">
        <f>("Pawlan, Monica, 1949- ")</f>
        <v xml:space="preserve">Pawlan, Monica, 1949- </v>
      </c>
      <c r="F656" t="str">
        <f>("Addison-Wesley, ")</f>
        <v xml:space="preserve">Addison-Wesley, </v>
      </c>
      <c r="H656" t="str">
        <f t="shared" si="249"/>
        <v>圖書 book</v>
      </c>
      <c r="I656" t="str">
        <f>("QA76.73.J38 P111 2000")</f>
        <v>QA76.73.J38 P111 2000</v>
      </c>
      <c r="J656" t="str">
        <f>("0201707209")</f>
        <v>0201707209</v>
      </c>
      <c r="K656" t="str">
        <f>("984")</f>
        <v>984</v>
      </c>
      <c r="L656" t="str">
        <f t="shared" si="272"/>
        <v>2001/10/10 00:00:00</v>
      </c>
      <c r="M656" t="str">
        <f t="shared" si="273"/>
        <v>2018/08/11 13:34:40</v>
      </c>
      <c r="N656" t="str">
        <f>("2000")</f>
        <v>2000</v>
      </c>
      <c r="O656" t="str">
        <f t="shared" si="265"/>
        <v>4F西文書庫 4F Western Language Books</v>
      </c>
      <c r="P656" t="s">
        <v>64</v>
      </c>
      <c r="W656" t="str">
        <f t="shared" si="262"/>
        <v>美國國會圖書分類法</v>
      </c>
      <c r="Y656" t="str">
        <f>("QA76.73.J38")</f>
        <v>QA76.73.J38</v>
      </c>
      <c r="Z656" t="str">
        <f t="shared" ref="Z656:Z666" si="274">("2018/08/11 13:34:40")</f>
        <v>2018/08/11 13:34:40</v>
      </c>
      <c r="AA656" t="str">
        <f t="shared" si="269"/>
        <v>catc</v>
      </c>
      <c r="AC656" t="str">
        <f>("P111")</f>
        <v>P111</v>
      </c>
      <c r="AE656" t="str">
        <f t="shared" si="261"/>
        <v>c.1</v>
      </c>
      <c r="AF656" t="str">
        <f t="shared" si="255"/>
        <v>1.可借圖書</v>
      </c>
      <c r="AG656" t="str">
        <f t="shared" si="266"/>
        <v>在架</v>
      </c>
      <c r="AI656" t="s">
        <v>65</v>
      </c>
      <c r="AK656" t="str">
        <f t="shared" si="270"/>
        <v>一般(Normal)</v>
      </c>
      <c r="AO656" t="s">
        <v>65</v>
      </c>
      <c r="AS656" t="str">
        <f>("c2000. ")</f>
        <v xml:space="preserve">c2000. </v>
      </c>
      <c r="AT656" t="str">
        <f t="shared" si="271"/>
        <v>catc</v>
      </c>
    </row>
    <row r="657" spans="1:46" x14ac:dyDescent="0.25">
      <c r="A657">
        <v>646</v>
      </c>
      <c r="B657" t="str">
        <f>("289490")</f>
        <v>289490</v>
      </c>
      <c r="C657" t="str">
        <f>("W00002682")</f>
        <v>W00002682</v>
      </c>
      <c r="D657" t="str">
        <f>("Efficient C++ : performance programming techniques / ")</f>
        <v xml:space="preserve">Efficient C++ : performance programming techniques / </v>
      </c>
      <c r="E657" t="str">
        <f>("Bulka, Dov. ")</f>
        <v xml:space="preserve">Bulka, Dov. </v>
      </c>
      <c r="F657" t="str">
        <f>("Addison Wesley, ")</f>
        <v xml:space="preserve">Addison Wesley, </v>
      </c>
      <c r="H657" t="str">
        <f t="shared" si="249"/>
        <v>圖書 book</v>
      </c>
      <c r="I657" t="str">
        <f>("QA76.73.C153 B934 2000")</f>
        <v>QA76.73.C153 B934 2000</v>
      </c>
      <c r="J657" t="str">
        <f>("0201379503")</f>
        <v>0201379503</v>
      </c>
      <c r="K657" t="str">
        <f>("984")</f>
        <v>984</v>
      </c>
      <c r="L657" t="str">
        <f t="shared" si="272"/>
        <v>2001/10/10 00:00:00</v>
      </c>
      <c r="M657" t="str">
        <f t="shared" si="273"/>
        <v>2018/08/11 13:34:40</v>
      </c>
      <c r="N657" t="str">
        <f>("2000")</f>
        <v>2000</v>
      </c>
      <c r="O657" t="str">
        <f t="shared" si="265"/>
        <v>4F西文書庫 4F Western Language Books</v>
      </c>
      <c r="P657" t="s">
        <v>64</v>
      </c>
      <c r="W657" t="str">
        <f t="shared" si="262"/>
        <v>美國國會圖書分類法</v>
      </c>
      <c r="Y657" t="str">
        <f>("QA76.73.C153")</f>
        <v>QA76.73.C153</v>
      </c>
      <c r="Z657" t="str">
        <f t="shared" si="274"/>
        <v>2018/08/11 13:34:40</v>
      </c>
      <c r="AA657" t="str">
        <f t="shared" si="269"/>
        <v>catc</v>
      </c>
      <c r="AC657" t="str">
        <f>("B934")</f>
        <v>B934</v>
      </c>
      <c r="AE657" t="str">
        <f t="shared" si="261"/>
        <v>c.1</v>
      </c>
      <c r="AF657" t="str">
        <f t="shared" si="255"/>
        <v>1.可借圖書</v>
      </c>
      <c r="AG657" t="str">
        <f t="shared" si="266"/>
        <v>在架</v>
      </c>
      <c r="AI657" t="s">
        <v>65</v>
      </c>
      <c r="AK657" t="str">
        <f t="shared" si="270"/>
        <v>一般(Normal)</v>
      </c>
      <c r="AO657" t="s">
        <v>65</v>
      </c>
      <c r="AS657" t="str">
        <f>("c2000. ")</f>
        <v xml:space="preserve">c2000. </v>
      </c>
      <c r="AT657" t="str">
        <f t="shared" si="271"/>
        <v>catc</v>
      </c>
    </row>
    <row r="658" spans="1:46" x14ac:dyDescent="0.25">
      <c r="A658">
        <v>647</v>
      </c>
      <c r="B658" t="str">
        <f>("289491")</f>
        <v>289491</v>
      </c>
      <c r="C658" t="str">
        <f>("W00002683")</f>
        <v>W00002683</v>
      </c>
      <c r="D658" t="str">
        <f>("Optimizing Windows for games, graphics and multimedia / ")</f>
        <v xml:space="preserve">Optimizing Windows for games, graphics and multimedia / </v>
      </c>
      <c r="E658" t="str">
        <f>("Farquhar, David L. ")</f>
        <v xml:space="preserve">Farquhar, David L. </v>
      </c>
      <c r="F658" t="str">
        <f>("O'Reilly, ")</f>
        <v xml:space="preserve">O'Reilly, </v>
      </c>
      <c r="G658" t="str">
        <f>("1st ed. ")</f>
        <v xml:space="preserve">1st ed. </v>
      </c>
      <c r="H658" t="str">
        <f t="shared" si="249"/>
        <v>圖書 book</v>
      </c>
      <c r="I658" t="str">
        <f>("QA76.76.O63 F238 2000")</f>
        <v>QA76.76.O63 F238 2000</v>
      </c>
      <c r="J658" t="str">
        <f>("1565926773")</f>
        <v>1565926773</v>
      </c>
      <c r="K658" t="str">
        <f>("704")</f>
        <v>704</v>
      </c>
      <c r="L658" t="str">
        <f t="shared" si="272"/>
        <v>2001/10/10 00:00:00</v>
      </c>
      <c r="M658" t="str">
        <f t="shared" si="273"/>
        <v>2018/08/11 13:34:40</v>
      </c>
      <c r="N658" t="str">
        <f>("2000")</f>
        <v>2000</v>
      </c>
      <c r="O658" t="str">
        <f t="shared" si="265"/>
        <v>4F西文書庫 4F Western Language Books</v>
      </c>
      <c r="P658" t="s">
        <v>64</v>
      </c>
      <c r="W658" t="str">
        <f t="shared" si="262"/>
        <v>美國國會圖書分類法</v>
      </c>
      <c r="Y658" t="str">
        <f>("QA76.76.O63")</f>
        <v>QA76.76.O63</v>
      </c>
      <c r="Z658" t="str">
        <f t="shared" si="274"/>
        <v>2018/08/11 13:34:40</v>
      </c>
      <c r="AA658" t="str">
        <f t="shared" si="269"/>
        <v>catc</v>
      </c>
      <c r="AC658" t="str">
        <f>("F238")</f>
        <v>F238</v>
      </c>
      <c r="AE658" t="str">
        <f t="shared" si="261"/>
        <v>c.1</v>
      </c>
      <c r="AF658" t="str">
        <f t="shared" si="255"/>
        <v>1.可借圖書</v>
      </c>
      <c r="AG658" t="str">
        <f t="shared" si="266"/>
        <v>在架</v>
      </c>
      <c r="AI658" t="s">
        <v>65</v>
      </c>
      <c r="AK658" t="str">
        <f t="shared" si="270"/>
        <v>一般(Normal)</v>
      </c>
      <c r="AO658" t="s">
        <v>65</v>
      </c>
      <c r="AS658" t="str">
        <f>("c2000. ")</f>
        <v xml:space="preserve">c2000. </v>
      </c>
      <c r="AT658" t="str">
        <f t="shared" si="271"/>
        <v>catc</v>
      </c>
    </row>
    <row r="659" spans="1:46" x14ac:dyDescent="0.25">
      <c r="A659">
        <v>648</v>
      </c>
      <c r="B659" t="str">
        <f>("289492")</f>
        <v>289492</v>
      </c>
      <c r="C659" t="str">
        <f>("W00002684")</f>
        <v>W00002684</v>
      </c>
      <c r="D659" t="str">
        <f>("Advanced techniques for Java developers / ")</f>
        <v xml:space="preserve">Advanced techniques for Java developers / </v>
      </c>
      <c r="E659" t="str">
        <f>("Berg, Daniel J. ")</f>
        <v xml:space="preserve">Berg, Daniel J. </v>
      </c>
      <c r="F659" t="str">
        <f>("Wiley, ")</f>
        <v xml:space="preserve">Wiley, </v>
      </c>
      <c r="G659" t="str">
        <f>("Rev. ed. ")</f>
        <v xml:space="preserve">Rev. ed. </v>
      </c>
      <c r="H659" t="str">
        <f t="shared" si="249"/>
        <v>圖書 book</v>
      </c>
      <c r="I659" t="str">
        <f>("QA76.73.J38 B493 1999")</f>
        <v>QA76.73.J38 B493 1999</v>
      </c>
      <c r="J659" t="str">
        <f>("0471327182")</f>
        <v>0471327182</v>
      </c>
      <c r="K659" t="str">
        <f>("560")</f>
        <v>560</v>
      </c>
      <c r="L659" t="str">
        <f t="shared" si="272"/>
        <v>2001/10/10 00:00:00</v>
      </c>
      <c r="M659" t="str">
        <f t="shared" si="273"/>
        <v>2018/08/11 13:34:40</v>
      </c>
      <c r="N659" t="str">
        <f>("1999")</f>
        <v>1999</v>
      </c>
      <c r="O659" t="str">
        <f t="shared" si="265"/>
        <v>4F西文書庫 4F Western Language Books</v>
      </c>
      <c r="P659" t="s">
        <v>64</v>
      </c>
      <c r="W659" t="str">
        <f t="shared" si="262"/>
        <v>美國國會圖書分類法</v>
      </c>
      <c r="Y659" t="str">
        <f>("QA76.73.J38")</f>
        <v>QA76.73.J38</v>
      </c>
      <c r="Z659" t="str">
        <f t="shared" si="274"/>
        <v>2018/08/11 13:34:40</v>
      </c>
      <c r="AA659" t="str">
        <f t="shared" si="269"/>
        <v>catc</v>
      </c>
      <c r="AC659" t="str">
        <f>("B493")</f>
        <v>B493</v>
      </c>
      <c r="AE659" t="str">
        <f t="shared" si="261"/>
        <v>c.1</v>
      </c>
      <c r="AF659" t="str">
        <f t="shared" si="255"/>
        <v>1.可借圖書</v>
      </c>
      <c r="AG659" t="str">
        <f t="shared" si="266"/>
        <v>在架</v>
      </c>
      <c r="AI659" t="s">
        <v>65</v>
      </c>
      <c r="AK659" t="str">
        <f t="shared" si="270"/>
        <v>一般(Normal)</v>
      </c>
      <c r="AO659" t="s">
        <v>65</v>
      </c>
      <c r="AS659" t="str">
        <f>("c1999. ")</f>
        <v xml:space="preserve">c1999. </v>
      </c>
      <c r="AT659" t="str">
        <f t="shared" si="271"/>
        <v>catc</v>
      </c>
    </row>
    <row r="660" spans="1:46" x14ac:dyDescent="0.25">
      <c r="A660">
        <v>649</v>
      </c>
      <c r="B660" t="str">
        <f>("289493")</f>
        <v>289493</v>
      </c>
      <c r="C660" t="str">
        <f>("W00002685")</f>
        <v>W00002685</v>
      </c>
      <c r="D660" t="str">
        <f>("C++ solutions : companion to The C++ programming language, Third edition / ")</f>
        <v xml:space="preserve">C++ solutions : companion to The C++ programming language, Third edition / </v>
      </c>
      <c r="E660" t="str">
        <f>("Vandevoorde, David. ")</f>
        <v xml:space="preserve">Vandevoorde, David. </v>
      </c>
      <c r="F660" t="str">
        <f>("Addison Wesley, ")</f>
        <v xml:space="preserve">Addison Wesley, </v>
      </c>
      <c r="H660" t="str">
        <f t="shared" si="249"/>
        <v>圖書 book</v>
      </c>
      <c r="I660" t="str">
        <f>("QA76.73.C153 V244 1998")</f>
        <v>QA76.73.C153 V244 1998</v>
      </c>
      <c r="J660" t="str">
        <f>("0201309653")</f>
        <v>0201309653</v>
      </c>
      <c r="K660" t="str">
        <f>("840")</f>
        <v>840</v>
      </c>
      <c r="L660" t="str">
        <f t="shared" si="272"/>
        <v>2001/10/10 00:00:00</v>
      </c>
      <c r="M660" t="str">
        <f t="shared" si="273"/>
        <v>2018/08/11 13:34:40</v>
      </c>
      <c r="N660" t="str">
        <f>("1998")</f>
        <v>1998</v>
      </c>
      <c r="O660" t="str">
        <f t="shared" si="265"/>
        <v>4F西文書庫 4F Western Language Books</v>
      </c>
      <c r="P660" t="s">
        <v>64</v>
      </c>
      <c r="W660" t="str">
        <f t="shared" si="262"/>
        <v>美國國會圖書分類法</v>
      </c>
      <c r="Y660" t="str">
        <f>("QA76.73.C153")</f>
        <v>QA76.73.C153</v>
      </c>
      <c r="Z660" t="str">
        <f t="shared" si="274"/>
        <v>2018/08/11 13:34:40</v>
      </c>
      <c r="AA660" t="str">
        <f t="shared" si="269"/>
        <v>catc</v>
      </c>
      <c r="AC660" t="str">
        <f>("V244")</f>
        <v>V244</v>
      </c>
      <c r="AE660" t="str">
        <f t="shared" ref="AE660:AE691" si="275">("c.1")</f>
        <v>c.1</v>
      </c>
      <c r="AF660" t="str">
        <f t="shared" si="255"/>
        <v>1.可借圖書</v>
      </c>
      <c r="AG660" t="str">
        <f t="shared" si="266"/>
        <v>在架</v>
      </c>
      <c r="AI660" t="s">
        <v>65</v>
      </c>
      <c r="AK660" t="str">
        <f t="shared" si="270"/>
        <v>一般(Normal)</v>
      </c>
      <c r="AO660" t="s">
        <v>65</v>
      </c>
      <c r="AS660" t="str">
        <f>("c1998. ")</f>
        <v xml:space="preserve">c1998. </v>
      </c>
      <c r="AT660" t="str">
        <f t="shared" si="271"/>
        <v>catc</v>
      </c>
    </row>
    <row r="661" spans="1:46" x14ac:dyDescent="0.25">
      <c r="A661">
        <v>650</v>
      </c>
      <c r="B661" t="str">
        <f>("289494")</f>
        <v>289494</v>
      </c>
      <c r="C661" t="str">
        <f>("W00002686")</f>
        <v>W00002686</v>
      </c>
      <c r="D661" t="str">
        <f>("Creating stores on the web / ")</f>
        <v xml:space="preserve">Creating stores on the web / </v>
      </c>
      <c r="E661" t="str">
        <f>("Cataudella, Joe. ")</f>
        <v xml:space="preserve">Cataudella, Joe. </v>
      </c>
      <c r="F661" t="str">
        <f>("Peachpit Press, ")</f>
        <v xml:space="preserve">Peachpit Press, </v>
      </c>
      <c r="H661" t="str">
        <f t="shared" ref="H661:H724" si="276">("圖書 book")</f>
        <v>圖書 book</v>
      </c>
      <c r="I661" t="str">
        <f>("HF5428.12 C357 1998")</f>
        <v>HF5428.12 C357 1998</v>
      </c>
      <c r="J661" t="str">
        <f>("0201696819")</f>
        <v>0201696819</v>
      </c>
      <c r="K661" t="str">
        <f>("928")</f>
        <v>928</v>
      </c>
      <c r="L661" t="str">
        <f t="shared" si="272"/>
        <v>2001/10/10 00:00:00</v>
      </c>
      <c r="M661" t="str">
        <f t="shared" si="273"/>
        <v>2018/08/11 13:34:40</v>
      </c>
      <c r="N661" t="str">
        <f>("1998")</f>
        <v>1998</v>
      </c>
      <c r="O661" t="str">
        <f t="shared" si="265"/>
        <v>4F西文書庫 4F Western Language Books</v>
      </c>
      <c r="P661" t="s">
        <v>64</v>
      </c>
      <c r="W661" t="str">
        <f t="shared" si="262"/>
        <v>美國國會圖書分類法</v>
      </c>
      <c r="Y661" t="str">
        <f>("HF5428.12")</f>
        <v>HF5428.12</v>
      </c>
      <c r="Z661" t="str">
        <f t="shared" si="274"/>
        <v>2018/08/11 13:34:40</v>
      </c>
      <c r="AA661" t="str">
        <f t="shared" si="269"/>
        <v>catc</v>
      </c>
      <c r="AC661" t="str">
        <f>("C357")</f>
        <v>C357</v>
      </c>
      <c r="AE661" t="str">
        <f t="shared" si="275"/>
        <v>c.1</v>
      </c>
      <c r="AF661" t="str">
        <f t="shared" si="255"/>
        <v>1.可借圖書</v>
      </c>
      <c r="AG661" t="str">
        <f t="shared" si="266"/>
        <v>在架</v>
      </c>
      <c r="AI661" t="s">
        <v>65</v>
      </c>
      <c r="AK661" t="str">
        <f t="shared" si="270"/>
        <v>一般(Normal)</v>
      </c>
      <c r="AO661" t="s">
        <v>65</v>
      </c>
      <c r="AS661" t="str">
        <f>("c1998. ")</f>
        <v xml:space="preserve">c1998. </v>
      </c>
      <c r="AT661" t="str">
        <f t="shared" si="271"/>
        <v>catc</v>
      </c>
    </row>
    <row r="662" spans="1:46" x14ac:dyDescent="0.25">
      <c r="A662">
        <v>651</v>
      </c>
      <c r="B662" t="str">
        <f>("289495")</f>
        <v>289495</v>
      </c>
      <c r="C662" t="str">
        <f>("W00002687")</f>
        <v>W00002687</v>
      </c>
      <c r="D662" t="str">
        <f>("A UML pattern language / ")</f>
        <v xml:space="preserve">A UML pattern language / </v>
      </c>
      <c r="E662" t="str">
        <f>("Evitts, Paul. ")</f>
        <v xml:space="preserve">Evitts, Paul. </v>
      </c>
      <c r="F662" t="str">
        <f>("Macmillan Publishing, ")</f>
        <v xml:space="preserve">Macmillan Publishing, </v>
      </c>
      <c r="H662" t="str">
        <f t="shared" si="276"/>
        <v>圖書 book</v>
      </c>
      <c r="I662" t="str">
        <f>("QA76.76.D47 E92 1999")</f>
        <v>QA76.76.D47 E92 1999</v>
      </c>
      <c r="J662" t="str">
        <f>("157870118X")</f>
        <v>157870118X</v>
      </c>
      <c r="K662" t="str">
        <f>("1120")</f>
        <v>1120</v>
      </c>
      <c r="L662" t="str">
        <f t="shared" si="272"/>
        <v>2001/10/10 00:00:00</v>
      </c>
      <c r="M662" t="str">
        <f t="shared" si="273"/>
        <v>2018/08/11 13:34:40</v>
      </c>
      <c r="N662" t="str">
        <f>("1999")</f>
        <v>1999</v>
      </c>
      <c r="O662" t="str">
        <f t="shared" si="265"/>
        <v>4F西文書庫 4F Western Language Books</v>
      </c>
      <c r="P662" t="s">
        <v>64</v>
      </c>
      <c r="W662" t="str">
        <f t="shared" si="262"/>
        <v>美國國會圖書分類法</v>
      </c>
      <c r="Y662" t="str">
        <f>("QA76.76.D47")</f>
        <v>QA76.76.D47</v>
      </c>
      <c r="Z662" t="str">
        <f t="shared" si="274"/>
        <v>2018/08/11 13:34:40</v>
      </c>
      <c r="AA662" t="str">
        <f t="shared" si="269"/>
        <v>catc</v>
      </c>
      <c r="AC662" t="str">
        <f>("E92")</f>
        <v>E92</v>
      </c>
      <c r="AE662" t="str">
        <f t="shared" si="275"/>
        <v>c.1</v>
      </c>
      <c r="AF662" t="str">
        <f t="shared" si="255"/>
        <v>1.可借圖書</v>
      </c>
      <c r="AG662" t="str">
        <f t="shared" si="266"/>
        <v>在架</v>
      </c>
      <c r="AI662" t="s">
        <v>65</v>
      </c>
      <c r="AK662" t="str">
        <f t="shared" si="270"/>
        <v>一般(Normal)</v>
      </c>
      <c r="AO662" t="s">
        <v>65</v>
      </c>
      <c r="AS662" t="str">
        <f>("1999. ")</f>
        <v xml:space="preserve">1999. </v>
      </c>
      <c r="AT662" t="str">
        <f t="shared" si="271"/>
        <v>catc</v>
      </c>
    </row>
    <row r="663" spans="1:46" x14ac:dyDescent="0.25">
      <c r="A663">
        <v>652</v>
      </c>
      <c r="B663" t="str">
        <f>("289496")</f>
        <v>289496</v>
      </c>
      <c r="C663" t="str">
        <f>("W00002688")</f>
        <v>W00002688</v>
      </c>
      <c r="D663" t="str">
        <f>("CCNA Cisco certified network administrator study guide (exam 640-507) / ")</f>
        <v xml:space="preserve">CCNA Cisco certified network administrator study guide (exam 640-507) / </v>
      </c>
      <c r="E663" t="str">
        <f>("Syngress Media, Inc. ")</f>
        <v xml:space="preserve">Syngress Media, Inc. </v>
      </c>
      <c r="F663" t="str">
        <f>("Osborne McGraw-Hill, ")</f>
        <v xml:space="preserve">Osborne McGraw-Hill, </v>
      </c>
      <c r="G663" t="str">
        <f>("2nd ed. ")</f>
        <v xml:space="preserve">2nd ed. </v>
      </c>
      <c r="H663" t="str">
        <f t="shared" si="276"/>
        <v>圖書 book</v>
      </c>
      <c r="I663" t="str">
        <f>("QA76.3 S993 2000")</f>
        <v>QA76.3 S993 2000</v>
      </c>
      <c r="J663" t="str">
        <f>("0072126671")</f>
        <v>0072126671</v>
      </c>
      <c r="K663" t="str">
        <f>("1400")</f>
        <v>1400</v>
      </c>
      <c r="L663" t="str">
        <f t="shared" si="272"/>
        <v>2001/10/10 00:00:00</v>
      </c>
      <c r="M663" t="str">
        <f t="shared" si="273"/>
        <v>2018/08/11 13:34:40</v>
      </c>
      <c r="N663" t="str">
        <f>("2000")</f>
        <v>2000</v>
      </c>
      <c r="O663" t="str">
        <f t="shared" si="265"/>
        <v>4F西文書庫 4F Western Language Books</v>
      </c>
      <c r="P663" t="s">
        <v>64</v>
      </c>
      <c r="W663" t="str">
        <f t="shared" si="262"/>
        <v>美國國會圖書分類法</v>
      </c>
      <c r="Y663" t="str">
        <f>("QA76.3")</f>
        <v>QA76.3</v>
      </c>
      <c r="Z663" t="str">
        <f t="shared" si="274"/>
        <v>2018/08/11 13:34:40</v>
      </c>
      <c r="AA663" t="str">
        <f t="shared" si="269"/>
        <v>catc</v>
      </c>
      <c r="AC663" t="str">
        <f>("S993")</f>
        <v>S993</v>
      </c>
      <c r="AE663" t="str">
        <f t="shared" si="275"/>
        <v>c.1</v>
      </c>
      <c r="AF663" t="str">
        <f t="shared" si="255"/>
        <v>1.可借圖書</v>
      </c>
      <c r="AG663" t="str">
        <f t="shared" si="266"/>
        <v>在架</v>
      </c>
      <c r="AI663" t="s">
        <v>65</v>
      </c>
      <c r="AK663" t="str">
        <f t="shared" si="270"/>
        <v>一般(Normal)</v>
      </c>
      <c r="AO663" t="s">
        <v>65</v>
      </c>
      <c r="AS663" t="str">
        <f>("c2000. ")</f>
        <v xml:space="preserve">c2000. </v>
      </c>
      <c r="AT663" t="str">
        <f t="shared" si="271"/>
        <v>catc</v>
      </c>
    </row>
    <row r="664" spans="1:46" x14ac:dyDescent="0.25">
      <c r="A664">
        <v>653</v>
      </c>
      <c r="B664" t="str">
        <f>("289497")</f>
        <v>289497</v>
      </c>
      <c r="C664" t="str">
        <f>("W00002689")</f>
        <v>W00002689</v>
      </c>
      <c r="D664" t="str">
        <f>("MPLS and label switching networks / ")</f>
        <v xml:space="preserve">MPLS and label switching networks / </v>
      </c>
      <c r="E664" t="str">
        <f>("Black, Uyless D. ")</f>
        <v xml:space="preserve">Black, Uyless D. </v>
      </c>
      <c r="F664" t="str">
        <f>("Prentice Hall, ")</f>
        <v xml:space="preserve">Prentice Hall, </v>
      </c>
      <c r="H664" t="str">
        <f t="shared" si="276"/>
        <v>圖書 book</v>
      </c>
      <c r="I664" t="str">
        <f>("TK5105.875.I57 B628 2001")</f>
        <v>TK5105.875.I57 B628 2001</v>
      </c>
      <c r="J664" t="str">
        <f>("0130158232")</f>
        <v>0130158232</v>
      </c>
      <c r="K664" t="str">
        <f>("1344")</f>
        <v>1344</v>
      </c>
      <c r="L664" t="str">
        <f t="shared" si="272"/>
        <v>2001/10/10 00:00:00</v>
      </c>
      <c r="M664" t="str">
        <f t="shared" si="273"/>
        <v>2018/08/11 13:34:40</v>
      </c>
      <c r="N664" t="str">
        <f>("2001")</f>
        <v>2001</v>
      </c>
      <c r="O664" t="str">
        <f t="shared" si="265"/>
        <v>4F西文書庫 4F Western Language Books</v>
      </c>
      <c r="P664" t="s">
        <v>64</v>
      </c>
      <c r="W664" t="str">
        <f t="shared" si="262"/>
        <v>美國國會圖書分類法</v>
      </c>
      <c r="Y664" t="str">
        <f>("TK5105.875.I57")</f>
        <v>TK5105.875.I57</v>
      </c>
      <c r="Z664" t="str">
        <f t="shared" si="274"/>
        <v>2018/08/11 13:34:40</v>
      </c>
      <c r="AA664" t="str">
        <f t="shared" si="269"/>
        <v>catc</v>
      </c>
      <c r="AC664" t="str">
        <f>("B628")</f>
        <v>B628</v>
      </c>
      <c r="AE664" t="str">
        <f t="shared" si="275"/>
        <v>c.1</v>
      </c>
      <c r="AF664" t="str">
        <f t="shared" si="255"/>
        <v>1.可借圖書</v>
      </c>
      <c r="AG664" t="str">
        <f t="shared" si="266"/>
        <v>在架</v>
      </c>
      <c r="AI664" t="s">
        <v>65</v>
      </c>
      <c r="AK664" t="str">
        <f t="shared" si="270"/>
        <v>一般(Normal)</v>
      </c>
      <c r="AO664" t="s">
        <v>65</v>
      </c>
      <c r="AS664" t="str">
        <f>("2001. ")</f>
        <v xml:space="preserve">2001. </v>
      </c>
      <c r="AT664" t="str">
        <f t="shared" si="271"/>
        <v>catc</v>
      </c>
    </row>
    <row r="665" spans="1:46" x14ac:dyDescent="0.25">
      <c r="A665">
        <v>654</v>
      </c>
      <c r="B665" t="str">
        <f>("289498")</f>
        <v>289498</v>
      </c>
      <c r="C665" t="str">
        <f>("W00002690")</f>
        <v>W00002690</v>
      </c>
      <c r="D665" t="str">
        <f>("Cisco and IP addressing")</f>
        <v>Cisco and IP addressing</v>
      </c>
      <c r="E665" t="str">
        <f>("Rossi, Louis D.1947- ")</f>
        <v xml:space="preserve">Rossi, Louis D.1947- </v>
      </c>
      <c r="F665" t="str">
        <f>("McGraw-Hill,")</f>
        <v>McGraw-Hill,</v>
      </c>
      <c r="H665" t="str">
        <f t="shared" si="276"/>
        <v>圖書 book</v>
      </c>
      <c r="I665" t="str">
        <f>("TK5105.5 R831 1999")</f>
        <v>TK5105.5 R831 1999</v>
      </c>
      <c r="J665" t="str">
        <f>("0071349251")</f>
        <v>0071349251</v>
      </c>
      <c r="K665" t="str">
        <f>("1498")</f>
        <v>1498</v>
      </c>
      <c r="L665" t="str">
        <f t="shared" si="272"/>
        <v>2001/10/10 00:00:00</v>
      </c>
      <c r="M665" t="str">
        <f t="shared" si="273"/>
        <v>2018/08/11 13:34:40</v>
      </c>
      <c r="N665" t="str">
        <f>("1999")</f>
        <v>1999</v>
      </c>
      <c r="O665" t="str">
        <f t="shared" si="265"/>
        <v>4F西文書庫 4F Western Language Books</v>
      </c>
      <c r="P665" t="s">
        <v>64</v>
      </c>
      <c r="W665" t="str">
        <f t="shared" si="262"/>
        <v>美國國會圖書分類法</v>
      </c>
      <c r="Y665" t="str">
        <f>("TK5105.5")</f>
        <v>TK5105.5</v>
      </c>
      <c r="Z665" t="str">
        <f t="shared" si="274"/>
        <v>2018/08/11 13:34:40</v>
      </c>
      <c r="AA665" t="str">
        <f t="shared" si="269"/>
        <v>catc</v>
      </c>
      <c r="AC665" t="str">
        <f>("R831")</f>
        <v>R831</v>
      </c>
      <c r="AE665" t="str">
        <f t="shared" si="275"/>
        <v>c.1</v>
      </c>
      <c r="AF665" t="str">
        <f t="shared" si="255"/>
        <v>1.可借圖書</v>
      </c>
      <c r="AG665" t="str">
        <f t="shared" si="266"/>
        <v>在架</v>
      </c>
      <c r="AI665" t="s">
        <v>65</v>
      </c>
      <c r="AK665" t="str">
        <f t="shared" si="270"/>
        <v>一般(Normal)</v>
      </c>
      <c r="AO665" t="s">
        <v>65</v>
      </c>
      <c r="AS665" t="str">
        <f>("c1999 ")</f>
        <v xml:space="preserve">c1999 </v>
      </c>
      <c r="AT665" t="str">
        <f t="shared" si="271"/>
        <v>catc</v>
      </c>
    </row>
    <row r="666" spans="1:46" x14ac:dyDescent="0.25">
      <c r="A666">
        <v>655</v>
      </c>
      <c r="B666" t="str">
        <f>("289499")</f>
        <v>289499</v>
      </c>
      <c r="C666" t="str">
        <f>("W00002691")</f>
        <v>W00002691</v>
      </c>
      <c r="D666" t="str">
        <f>("Building corporate portals using XML /")</f>
        <v>Building corporate portals using XML /</v>
      </c>
      <c r="E666" t="str">
        <f>("Finkelstein, Clive.")</f>
        <v>Finkelstein, Clive.</v>
      </c>
      <c r="F666" t="str">
        <f>("McGraw-Hill,")</f>
        <v>McGraw-Hill,</v>
      </c>
      <c r="H666" t="str">
        <f t="shared" si="276"/>
        <v>圖書 book</v>
      </c>
      <c r="I666" t="str">
        <f>("QA76.76.H94 F499 1999")</f>
        <v>QA76.76.H94 F499 1999</v>
      </c>
      <c r="J666" t="str">
        <f>("0079137059")</f>
        <v>0079137059</v>
      </c>
      <c r="K666" t="str">
        <f>("1400")</f>
        <v>1400</v>
      </c>
      <c r="L666" t="str">
        <f t="shared" si="272"/>
        <v>2001/10/10 00:00:00</v>
      </c>
      <c r="M666" t="str">
        <f t="shared" ref="M666:M677" si="277">("2018/08/11 13:34:41")</f>
        <v>2018/08/11 13:34:41</v>
      </c>
      <c r="N666" t="str">
        <f>("1999")</f>
        <v>1999</v>
      </c>
      <c r="O666" t="str">
        <f t="shared" si="265"/>
        <v>4F西文書庫 4F Western Language Books</v>
      </c>
      <c r="P666" t="s">
        <v>64</v>
      </c>
      <c r="S666" t="str">
        <f>("529p.")</f>
        <v>529p.</v>
      </c>
      <c r="T666" t="str">
        <f>("24 cm.")</f>
        <v>24 cm.</v>
      </c>
      <c r="W666" t="str">
        <f t="shared" si="262"/>
        <v>美國國會圖書分類法</v>
      </c>
      <c r="Y666" t="str">
        <f>("QA76.76.H94")</f>
        <v>QA76.76.H94</v>
      </c>
      <c r="Z666" t="str">
        <f t="shared" si="274"/>
        <v>2018/08/11 13:34:40</v>
      </c>
      <c r="AA666" t="str">
        <f t="shared" si="269"/>
        <v>catc</v>
      </c>
      <c r="AC666" t="str">
        <f>("F499")</f>
        <v>F499</v>
      </c>
      <c r="AE666" t="str">
        <f t="shared" si="275"/>
        <v>c.1</v>
      </c>
      <c r="AF666" t="str">
        <f t="shared" si="255"/>
        <v>1.可借圖書</v>
      </c>
      <c r="AG666" t="str">
        <f t="shared" si="266"/>
        <v>在架</v>
      </c>
      <c r="AI666" t="s">
        <v>65</v>
      </c>
      <c r="AK666" t="str">
        <f t="shared" si="270"/>
        <v>一般(Normal)</v>
      </c>
      <c r="AO666" t="s">
        <v>65</v>
      </c>
      <c r="AS666" t="str">
        <f>("1999.")</f>
        <v>1999.</v>
      </c>
      <c r="AT666" t="str">
        <f t="shared" si="271"/>
        <v>catc</v>
      </c>
    </row>
    <row r="667" spans="1:46" x14ac:dyDescent="0.25">
      <c r="A667">
        <v>656</v>
      </c>
      <c r="B667" t="str">
        <f>("289500")</f>
        <v>289500</v>
      </c>
      <c r="C667" t="str">
        <f>("W00002692")</f>
        <v>W00002692</v>
      </c>
      <c r="D667" t="str">
        <f>("Cisco : a beginner's guide / ")</f>
        <v xml:space="preserve">Cisco : a beginner's guide / </v>
      </c>
      <c r="E667" t="str">
        <f>("Shaughnessy, Tom. ")</f>
        <v xml:space="preserve">Shaughnessy, Tom. </v>
      </c>
      <c r="F667" t="str">
        <f>("Osborne/McGraw-Hill, ")</f>
        <v xml:space="preserve">Osborne/McGraw-Hill, </v>
      </c>
      <c r="H667" t="str">
        <f t="shared" si="276"/>
        <v>圖書 book</v>
      </c>
      <c r="I667" t="str">
        <f>("TK5105.5 S524 2000")</f>
        <v>TK5105.5 S524 2000</v>
      </c>
      <c r="J667" t="str">
        <f>("0072121157")</f>
        <v>0072121157</v>
      </c>
      <c r="K667" t="str">
        <f>("1120")</f>
        <v>1120</v>
      </c>
      <c r="L667" t="str">
        <f t="shared" si="272"/>
        <v>2001/10/10 00:00:00</v>
      </c>
      <c r="M667" t="str">
        <f t="shared" si="277"/>
        <v>2018/08/11 13:34:41</v>
      </c>
      <c r="N667" t="str">
        <f>("2000")</f>
        <v>2000</v>
      </c>
      <c r="O667" t="str">
        <f t="shared" si="265"/>
        <v>4F西文書庫 4F Western Language Books</v>
      </c>
      <c r="P667" t="s">
        <v>64</v>
      </c>
      <c r="W667" t="str">
        <f t="shared" si="262"/>
        <v>美國國會圖書分類法</v>
      </c>
      <c r="Y667" t="str">
        <f>("TK5105.5")</f>
        <v>TK5105.5</v>
      </c>
      <c r="Z667" t="str">
        <f t="shared" ref="Z667:Z677" si="278">("2018/08/11 13:34:41")</f>
        <v>2018/08/11 13:34:41</v>
      </c>
      <c r="AA667" t="str">
        <f t="shared" si="269"/>
        <v>catc</v>
      </c>
      <c r="AC667" t="str">
        <f>("S524")</f>
        <v>S524</v>
      </c>
      <c r="AE667" t="str">
        <f t="shared" si="275"/>
        <v>c.1</v>
      </c>
      <c r="AF667" t="str">
        <f t="shared" si="255"/>
        <v>1.可借圖書</v>
      </c>
      <c r="AG667" t="str">
        <f t="shared" si="266"/>
        <v>在架</v>
      </c>
      <c r="AI667" t="s">
        <v>65</v>
      </c>
      <c r="AK667" t="str">
        <f t="shared" si="270"/>
        <v>一般(Normal)</v>
      </c>
      <c r="AO667" t="s">
        <v>65</v>
      </c>
      <c r="AS667" t="str">
        <f>("c2000. ")</f>
        <v xml:space="preserve">c2000. </v>
      </c>
      <c r="AT667" t="str">
        <f t="shared" si="271"/>
        <v>catc</v>
      </c>
    </row>
    <row r="668" spans="1:46" x14ac:dyDescent="0.25">
      <c r="A668">
        <v>657</v>
      </c>
      <c r="B668" t="str">
        <f>("289501")</f>
        <v>289501</v>
      </c>
      <c r="C668" t="str">
        <f>("W00002693")</f>
        <v>W00002693</v>
      </c>
      <c r="D668" t="str">
        <f>("Advanced Domino 5 Web programming / ")</f>
        <v xml:space="preserve">Advanced Domino 5 Web programming / </v>
      </c>
      <c r="E668" t="str">
        <f>("Kelleher, Rose. ")</f>
        <v xml:space="preserve">Kelleher, Rose. </v>
      </c>
      <c r="F668" t="str">
        <f>("McGraw-Hill, ")</f>
        <v xml:space="preserve">McGraw-Hill, </v>
      </c>
      <c r="H668" t="str">
        <f t="shared" si="276"/>
        <v>圖書 book</v>
      </c>
      <c r="I668" t="str">
        <f>("QA76.625 K29 1999")</f>
        <v>QA76.625 K29 1999</v>
      </c>
      <c r="J668" t="str">
        <f>("0079136915")</f>
        <v>0079136915</v>
      </c>
      <c r="K668" t="str">
        <f>("1400")</f>
        <v>1400</v>
      </c>
      <c r="L668" t="str">
        <f t="shared" si="272"/>
        <v>2001/10/10 00:00:00</v>
      </c>
      <c r="M668" t="str">
        <f t="shared" si="277"/>
        <v>2018/08/11 13:34:41</v>
      </c>
      <c r="N668" t="str">
        <f>("1999")</f>
        <v>1999</v>
      </c>
      <c r="O668" t="str">
        <f t="shared" si="265"/>
        <v>4F西文書庫 4F Western Language Books</v>
      </c>
      <c r="P668" t="s">
        <v>64</v>
      </c>
      <c r="W668" t="str">
        <f t="shared" si="262"/>
        <v>美國國會圖書分類法</v>
      </c>
      <c r="Y668" t="str">
        <f>("QA76.625")</f>
        <v>QA76.625</v>
      </c>
      <c r="Z668" t="str">
        <f t="shared" si="278"/>
        <v>2018/08/11 13:34:41</v>
      </c>
      <c r="AA668" t="str">
        <f t="shared" si="269"/>
        <v>catc</v>
      </c>
      <c r="AC668" t="str">
        <f>("K29")</f>
        <v>K29</v>
      </c>
      <c r="AE668" t="str">
        <f t="shared" si="275"/>
        <v>c.1</v>
      </c>
      <c r="AF668" t="str">
        <f t="shared" si="255"/>
        <v>1.可借圖書</v>
      </c>
      <c r="AG668" t="str">
        <f t="shared" si="266"/>
        <v>在架</v>
      </c>
      <c r="AI668" t="s">
        <v>65</v>
      </c>
      <c r="AK668" t="str">
        <f t="shared" si="270"/>
        <v>一般(Normal)</v>
      </c>
      <c r="AO668" t="s">
        <v>65</v>
      </c>
      <c r="AS668" t="str">
        <f>("c1999. ")</f>
        <v xml:space="preserve">c1999. </v>
      </c>
      <c r="AT668" t="str">
        <f t="shared" si="271"/>
        <v>catc</v>
      </c>
    </row>
    <row r="669" spans="1:46" x14ac:dyDescent="0.25">
      <c r="A669">
        <v>658</v>
      </c>
      <c r="B669" t="str">
        <f>("289502")</f>
        <v>289502</v>
      </c>
      <c r="C669" t="str">
        <f>("W00002694")</f>
        <v>W00002694</v>
      </c>
      <c r="D669" t="str">
        <f>("COM and CORBA side by side : architectures, strategies, and implementations / ")</f>
        <v xml:space="preserve">COM and CORBA side by side : architectures, strategies, and implementations / </v>
      </c>
      <c r="E669" t="str">
        <f>("Pritchard, Jason. ")</f>
        <v xml:space="preserve">Pritchard, Jason. </v>
      </c>
      <c r="F669" t="str">
        <f>("Addison-Wesley, ")</f>
        <v xml:space="preserve">Addison-Wesley, </v>
      </c>
      <c r="H669" t="str">
        <f t="shared" si="276"/>
        <v>圖書 book</v>
      </c>
      <c r="I669" t="str">
        <f>("QA76.9.A73 P961 1999")</f>
        <v>QA76.9.A73 P961 1999</v>
      </c>
      <c r="J669" t="str">
        <f>("0201379457")</f>
        <v>0201379457</v>
      </c>
      <c r="K669" t="str">
        <f>("1264")</f>
        <v>1264</v>
      </c>
      <c r="L669" t="str">
        <f t="shared" si="272"/>
        <v>2001/10/10 00:00:00</v>
      </c>
      <c r="M669" t="str">
        <f t="shared" si="277"/>
        <v>2018/08/11 13:34:41</v>
      </c>
      <c r="N669" t="str">
        <f>("1999")</f>
        <v>1999</v>
      </c>
      <c r="O669" t="str">
        <f t="shared" si="265"/>
        <v>4F西文書庫 4F Western Language Books</v>
      </c>
      <c r="P669" t="s">
        <v>64</v>
      </c>
      <c r="S669" t="str">
        <f>("xix, 430 p. : ")</f>
        <v xml:space="preserve">xix, 430 p. : </v>
      </c>
      <c r="T669" t="str">
        <f>("ill. ; ")</f>
        <v xml:space="preserve">ill. ; </v>
      </c>
      <c r="U669" t="str">
        <f>("23 cm. ")</f>
        <v xml:space="preserve">23 cm. </v>
      </c>
      <c r="W669" t="str">
        <f t="shared" si="262"/>
        <v>美國國會圖書分類法</v>
      </c>
      <c r="Y669" t="str">
        <f>("QA76.9.A73")</f>
        <v>QA76.9.A73</v>
      </c>
      <c r="Z669" t="str">
        <f t="shared" si="278"/>
        <v>2018/08/11 13:34:41</v>
      </c>
      <c r="AA669" t="str">
        <f t="shared" si="269"/>
        <v>catc</v>
      </c>
      <c r="AC669" t="str">
        <f>("P961")</f>
        <v>P961</v>
      </c>
      <c r="AE669" t="str">
        <f t="shared" si="275"/>
        <v>c.1</v>
      </c>
      <c r="AF669" t="str">
        <f t="shared" si="255"/>
        <v>1.可借圖書</v>
      </c>
      <c r="AG669" t="str">
        <f t="shared" si="266"/>
        <v>在架</v>
      </c>
      <c r="AI669" t="s">
        <v>65</v>
      </c>
      <c r="AK669" t="str">
        <f t="shared" si="270"/>
        <v>一般(Normal)</v>
      </c>
      <c r="AO669" t="s">
        <v>65</v>
      </c>
      <c r="AS669" t="str">
        <f>("c1999. ")</f>
        <v xml:space="preserve">c1999. </v>
      </c>
      <c r="AT669" t="str">
        <f t="shared" si="271"/>
        <v>catc</v>
      </c>
    </row>
    <row r="670" spans="1:46" x14ac:dyDescent="0.25">
      <c r="A670">
        <v>659</v>
      </c>
      <c r="B670" t="str">
        <f>("289503")</f>
        <v>289503</v>
      </c>
      <c r="C670" t="str">
        <f>("W00002695")</f>
        <v>W00002695</v>
      </c>
      <c r="D670" t="str">
        <f>("Analyzing broadband networks / ")</f>
        <v xml:space="preserve">Analyzing broadband networks / </v>
      </c>
      <c r="E670" t="str">
        <f>("Miller, Mark, 1955- ")</f>
        <v xml:space="preserve">Miller, Mark, 1955- </v>
      </c>
      <c r="F670" t="str">
        <f>("McGraw-Hill, ")</f>
        <v xml:space="preserve">McGraw-Hill, </v>
      </c>
      <c r="G670" t="str">
        <f>("3rd ed. ")</f>
        <v xml:space="preserve">3rd ed. </v>
      </c>
      <c r="H670" t="str">
        <f t="shared" si="276"/>
        <v>圖書 book</v>
      </c>
      <c r="I670" t="str">
        <f>("TK5103.4 M647 2000")</f>
        <v>TK5103.4 M647 2000</v>
      </c>
      <c r="J670" t="str">
        <f>("0072125322")</f>
        <v>0072125322</v>
      </c>
      <c r="K670" t="str">
        <f>("1400")</f>
        <v>1400</v>
      </c>
      <c r="L670" t="str">
        <f t="shared" si="272"/>
        <v>2001/10/10 00:00:00</v>
      </c>
      <c r="M670" t="str">
        <f t="shared" si="277"/>
        <v>2018/08/11 13:34:41</v>
      </c>
      <c r="N670" t="str">
        <f>("2000")</f>
        <v>2000</v>
      </c>
      <c r="O670" t="str">
        <f t="shared" si="265"/>
        <v>4F西文書庫 4F Western Language Books</v>
      </c>
      <c r="P670" t="s">
        <v>64</v>
      </c>
      <c r="W670" t="str">
        <f t="shared" si="262"/>
        <v>美國國會圖書分類法</v>
      </c>
      <c r="Y670" t="str">
        <f>("TK5103.4")</f>
        <v>TK5103.4</v>
      </c>
      <c r="Z670" t="str">
        <f t="shared" si="278"/>
        <v>2018/08/11 13:34:41</v>
      </c>
      <c r="AA670" t="str">
        <f t="shared" si="269"/>
        <v>catc</v>
      </c>
      <c r="AC670" t="str">
        <f>("M647")</f>
        <v>M647</v>
      </c>
      <c r="AE670" t="str">
        <f t="shared" si="275"/>
        <v>c.1</v>
      </c>
      <c r="AF670" t="str">
        <f t="shared" si="255"/>
        <v>1.可借圖書</v>
      </c>
      <c r="AG670" t="str">
        <f t="shared" si="266"/>
        <v>在架</v>
      </c>
      <c r="AI670" t="s">
        <v>65</v>
      </c>
      <c r="AK670" t="str">
        <f t="shared" si="270"/>
        <v>一般(Normal)</v>
      </c>
      <c r="AO670" t="s">
        <v>65</v>
      </c>
      <c r="AS670" t="str">
        <f>("2000. ")</f>
        <v xml:space="preserve">2000. </v>
      </c>
      <c r="AT670" t="str">
        <f t="shared" si="271"/>
        <v>catc</v>
      </c>
    </row>
    <row r="671" spans="1:46" x14ac:dyDescent="0.25">
      <c r="A671">
        <v>660</v>
      </c>
      <c r="B671" t="str">
        <f>("289504")</f>
        <v>289504</v>
      </c>
      <c r="C671" t="str">
        <f>("W00002696")</f>
        <v>W00002696</v>
      </c>
      <c r="D671" t="str">
        <f>("C, the complete reference / ")</f>
        <v xml:space="preserve">C, the complete reference / </v>
      </c>
      <c r="E671" t="str">
        <f>("Schildt, Herbert. ")</f>
        <v xml:space="preserve">Schildt, Herbert. </v>
      </c>
      <c r="F671" t="str">
        <f>("Osborne/McGraw-Hill, ")</f>
        <v xml:space="preserve">Osborne/McGraw-Hill, </v>
      </c>
      <c r="G671" t="str">
        <f>("4th ed. ")</f>
        <v xml:space="preserve">4th ed. </v>
      </c>
      <c r="H671" t="str">
        <f t="shared" si="276"/>
        <v>圖書 book</v>
      </c>
      <c r="I671" t="str">
        <f>("QA76.73.C15 S334 2000")</f>
        <v>QA76.73.C15 S334 2000</v>
      </c>
      <c r="J671" t="str">
        <f>("0072121246")</f>
        <v>0072121246</v>
      </c>
      <c r="K671" t="str">
        <f>("1120")</f>
        <v>1120</v>
      </c>
      <c r="L671" t="str">
        <f t="shared" si="272"/>
        <v>2001/10/10 00:00:00</v>
      </c>
      <c r="M671" t="str">
        <f t="shared" si="277"/>
        <v>2018/08/11 13:34:41</v>
      </c>
      <c r="N671" t="str">
        <f>("2000")</f>
        <v>2000</v>
      </c>
      <c r="O671" t="str">
        <f t="shared" si="265"/>
        <v>4F西文書庫 4F Western Language Books</v>
      </c>
      <c r="P671" t="s">
        <v>64</v>
      </c>
      <c r="W671" t="str">
        <f t="shared" si="262"/>
        <v>美國國會圖書分類法</v>
      </c>
      <c r="Y671" t="str">
        <f>("QA76.73.C15")</f>
        <v>QA76.73.C15</v>
      </c>
      <c r="Z671" t="str">
        <f t="shared" si="278"/>
        <v>2018/08/11 13:34:41</v>
      </c>
      <c r="AA671" t="str">
        <f t="shared" si="269"/>
        <v>catc</v>
      </c>
      <c r="AC671" t="str">
        <f>("S334")</f>
        <v>S334</v>
      </c>
      <c r="AE671" t="str">
        <f t="shared" si="275"/>
        <v>c.1</v>
      </c>
      <c r="AF671" t="str">
        <f t="shared" si="255"/>
        <v>1.可借圖書</v>
      </c>
      <c r="AG671" t="str">
        <f t="shared" si="266"/>
        <v>在架</v>
      </c>
      <c r="AI671" t="s">
        <v>65</v>
      </c>
      <c r="AK671" t="str">
        <f t="shared" si="270"/>
        <v>一般(Normal)</v>
      </c>
      <c r="AO671" t="s">
        <v>65</v>
      </c>
      <c r="AS671" t="str">
        <f>("c2000. ")</f>
        <v xml:space="preserve">c2000. </v>
      </c>
      <c r="AT671" t="str">
        <f t="shared" si="271"/>
        <v>catc</v>
      </c>
    </row>
    <row r="672" spans="1:46" x14ac:dyDescent="0.25">
      <c r="A672">
        <v>661</v>
      </c>
      <c r="B672" t="str">
        <f>("289505")</f>
        <v>289505</v>
      </c>
      <c r="C672" t="str">
        <f>("W00002697")</f>
        <v>W00002697</v>
      </c>
      <c r="D672" t="str">
        <f>("Data over wireless networks : Bluetooth, WAP, and wireless LANS / ")</f>
        <v xml:space="preserve">Data over wireless networks : Bluetooth, WAP, and wireless LANS / </v>
      </c>
      <c r="E672" t="str">
        <f>("Held, Gilbert, 1943- ")</f>
        <v xml:space="preserve">Held, Gilbert, 1943- </v>
      </c>
      <c r="F672" t="str">
        <f>("McGraw-Hill, ")</f>
        <v xml:space="preserve">McGraw-Hill, </v>
      </c>
      <c r="H672" t="str">
        <f t="shared" si="276"/>
        <v>圖書 book</v>
      </c>
      <c r="I672" t="str">
        <f>("TK5103.2 H474 2001")</f>
        <v>TK5103.2 H474 2001</v>
      </c>
      <c r="J672" t="str">
        <f>("0072126213")</f>
        <v>0072126213</v>
      </c>
      <c r="K672" t="str">
        <f>("1498")</f>
        <v>1498</v>
      </c>
      <c r="L672" t="str">
        <f t="shared" si="272"/>
        <v>2001/10/10 00:00:00</v>
      </c>
      <c r="M672" t="str">
        <f t="shared" si="277"/>
        <v>2018/08/11 13:34:41</v>
      </c>
      <c r="N672" t="str">
        <f>("2001")</f>
        <v>2001</v>
      </c>
      <c r="O672" t="str">
        <f t="shared" si="265"/>
        <v>4F西文書庫 4F Western Language Books</v>
      </c>
      <c r="P672" t="s">
        <v>64</v>
      </c>
      <c r="S672" t="str">
        <f>("xxi, 344 p. : ")</f>
        <v xml:space="preserve">xxi, 344 p. : </v>
      </c>
      <c r="T672" t="str">
        <f>("ill. ; ")</f>
        <v xml:space="preserve">ill. ; </v>
      </c>
      <c r="U672" t="str">
        <f>("24 cm. ")</f>
        <v xml:space="preserve">24 cm. </v>
      </c>
      <c r="W672" t="str">
        <f t="shared" si="262"/>
        <v>美國國會圖書分類法</v>
      </c>
      <c r="Y672" t="str">
        <f>("TK5103.2")</f>
        <v>TK5103.2</v>
      </c>
      <c r="Z672" t="str">
        <f t="shared" si="278"/>
        <v>2018/08/11 13:34:41</v>
      </c>
      <c r="AA672" t="str">
        <f t="shared" si="269"/>
        <v>catc</v>
      </c>
      <c r="AC672" t="str">
        <f>("H474")</f>
        <v>H474</v>
      </c>
      <c r="AE672" t="str">
        <f t="shared" si="275"/>
        <v>c.1</v>
      </c>
      <c r="AF672" t="str">
        <f t="shared" si="255"/>
        <v>1.可借圖書</v>
      </c>
      <c r="AG672" t="str">
        <f t="shared" si="266"/>
        <v>在架</v>
      </c>
      <c r="AI672" t="s">
        <v>65</v>
      </c>
      <c r="AK672" t="str">
        <f t="shared" si="270"/>
        <v>一般(Normal)</v>
      </c>
      <c r="AO672" t="s">
        <v>65</v>
      </c>
      <c r="AS672" t="str">
        <f>("c2001. ")</f>
        <v xml:space="preserve">c2001. </v>
      </c>
      <c r="AT672" t="str">
        <f t="shared" si="271"/>
        <v>catc</v>
      </c>
    </row>
    <row r="673" spans="1:46" x14ac:dyDescent="0.25">
      <c r="A673">
        <v>662</v>
      </c>
      <c r="B673" t="str">
        <f>("289506")</f>
        <v>289506</v>
      </c>
      <c r="C673" t="str">
        <f>("W00002698")</f>
        <v>W00002698</v>
      </c>
      <c r="D673" t="str">
        <f>("Advanced IP routing in Cisco networks / ")</f>
        <v xml:space="preserve">Advanced IP routing in Cisco networks / </v>
      </c>
      <c r="E673" t="str">
        <f>("Slattery, Terry. ")</f>
        <v xml:space="preserve">Slattery, Terry. </v>
      </c>
      <c r="F673" t="str">
        <f>("McGraw-Hill, ")</f>
        <v xml:space="preserve">McGraw-Hill, </v>
      </c>
      <c r="G673" t="str">
        <f>("2nd ed. ")</f>
        <v xml:space="preserve">2nd ed. </v>
      </c>
      <c r="H673" t="str">
        <f t="shared" si="276"/>
        <v>圖書 book</v>
      </c>
      <c r="I673" t="str">
        <f>("TK5105.585 S631 2000")</f>
        <v>TK5105.585 S631 2000</v>
      </c>
      <c r="J673" t="str">
        <f>("0072125918")</f>
        <v>0072125918</v>
      </c>
      <c r="K673" t="str">
        <f>("1498")</f>
        <v>1498</v>
      </c>
      <c r="L673" t="str">
        <f t="shared" si="272"/>
        <v>2001/10/10 00:00:00</v>
      </c>
      <c r="M673" t="str">
        <f t="shared" si="277"/>
        <v>2018/08/11 13:34:41</v>
      </c>
      <c r="N673" t="str">
        <f>("2000")</f>
        <v>2000</v>
      </c>
      <c r="O673" t="str">
        <f t="shared" ref="O673:O702" si="279">("4F西文書庫 4F Western Language Books")</f>
        <v>4F西文書庫 4F Western Language Books</v>
      </c>
      <c r="P673" t="s">
        <v>64</v>
      </c>
      <c r="W673" t="str">
        <f t="shared" si="262"/>
        <v>美國國會圖書分類法</v>
      </c>
      <c r="Y673" t="str">
        <f>("TK5105.585")</f>
        <v>TK5105.585</v>
      </c>
      <c r="Z673" t="str">
        <f t="shared" si="278"/>
        <v>2018/08/11 13:34:41</v>
      </c>
      <c r="AA673" t="str">
        <f t="shared" si="269"/>
        <v>catc</v>
      </c>
      <c r="AC673" t="str">
        <f>("S631")</f>
        <v>S631</v>
      </c>
      <c r="AE673" t="str">
        <f t="shared" si="275"/>
        <v>c.1</v>
      </c>
      <c r="AF673" t="str">
        <f t="shared" ref="AF673:AF736" si="280">("1.可借圖書")</f>
        <v>1.可借圖書</v>
      </c>
      <c r="AG673" t="str">
        <f t="shared" ref="AG673:AG702" si="281">("在架")</f>
        <v>在架</v>
      </c>
      <c r="AI673" t="s">
        <v>65</v>
      </c>
      <c r="AK673" t="str">
        <f t="shared" si="270"/>
        <v>一般(Normal)</v>
      </c>
      <c r="AO673" t="s">
        <v>65</v>
      </c>
      <c r="AS673" t="str">
        <f>("c2000. ")</f>
        <v xml:space="preserve">c2000. </v>
      </c>
      <c r="AT673" t="str">
        <f t="shared" si="271"/>
        <v>catc</v>
      </c>
    </row>
    <row r="674" spans="1:46" x14ac:dyDescent="0.25">
      <c r="A674">
        <v>663</v>
      </c>
      <c r="B674" t="str">
        <f>("289507")</f>
        <v>289507</v>
      </c>
      <c r="C674" t="str">
        <f>("W00002699")</f>
        <v>W00002699</v>
      </c>
      <c r="D674" t="str">
        <f>("Mod_perl pocket reference / ")</f>
        <v xml:space="preserve">Mod_perl pocket reference / </v>
      </c>
      <c r="E674" t="str">
        <f>("Ford, Andrew. ")</f>
        <v xml:space="preserve">Ford, Andrew. </v>
      </c>
      <c r="F674" t="str">
        <f>("O'Reilly, ")</f>
        <v xml:space="preserve">O'Reilly, </v>
      </c>
      <c r="G674" t="str">
        <f>("1st ed. ")</f>
        <v xml:space="preserve">1st ed. </v>
      </c>
      <c r="H674" t="str">
        <f t="shared" si="276"/>
        <v>圖書 book</v>
      </c>
      <c r="I674" t="str">
        <f>("TK5105.8885 F699 2001")</f>
        <v>TK5105.8885 F699 2001</v>
      </c>
      <c r="J674" t="str">
        <f>("0596000472")</f>
        <v>0596000472</v>
      </c>
      <c r="K674" t="str">
        <f>("280")</f>
        <v>280</v>
      </c>
      <c r="L674" t="str">
        <f t="shared" si="272"/>
        <v>2001/10/10 00:00:00</v>
      </c>
      <c r="M674" t="str">
        <f t="shared" si="277"/>
        <v>2018/08/11 13:34:41</v>
      </c>
      <c r="N674" t="str">
        <f>("2001")</f>
        <v>2001</v>
      </c>
      <c r="O674" t="str">
        <f t="shared" si="279"/>
        <v>4F西文書庫 4F Western Language Books</v>
      </c>
      <c r="P674" t="s">
        <v>64</v>
      </c>
      <c r="W674" t="str">
        <f t="shared" si="262"/>
        <v>美國國會圖書分類法</v>
      </c>
      <c r="Y674" t="str">
        <f>("TK5105.8885")</f>
        <v>TK5105.8885</v>
      </c>
      <c r="Z674" t="str">
        <f t="shared" si="278"/>
        <v>2018/08/11 13:34:41</v>
      </c>
      <c r="AA674" t="str">
        <f t="shared" si="269"/>
        <v>catc</v>
      </c>
      <c r="AC674" t="str">
        <f>("F699")</f>
        <v>F699</v>
      </c>
      <c r="AE674" t="str">
        <f t="shared" si="275"/>
        <v>c.1</v>
      </c>
      <c r="AF674" t="str">
        <f t="shared" si="280"/>
        <v>1.可借圖書</v>
      </c>
      <c r="AG674" t="str">
        <f t="shared" si="281"/>
        <v>在架</v>
      </c>
      <c r="AI674" t="s">
        <v>65</v>
      </c>
      <c r="AK674" t="str">
        <f t="shared" si="270"/>
        <v>一般(Normal)</v>
      </c>
      <c r="AO674" t="s">
        <v>65</v>
      </c>
      <c r="AS674" t="str">
        <f>("c2000. ")</f>
        <v xml:space="preserve">c2000. </v>
      </c>
      <c r="AT674" t="str">
        <f t="shared" si="271"/>
        <v>catc</v>
      </c>
    </row>
    <row r="675" spans="1:46" x14ac:dyDescent="0.25">
      <c r="A675">
        <v>664</v>
      </c>
      <c r="B675" t="str">
        <f>("289521")</f>
        <v>289521</v>
      </c>
      <c r="C675" t="str">
        <f>("W00002700")</f>
        <v>W00002700</v>
      </c>
      <c r="D675" t="str">
        <f>("Apache pocket reference / ")</f>
        <v xml:space="preserve">Apache pocket reference / </v>
      </c>
      <c r="E675" t="str">
        <f>("Ford, Andrew. ")</f>
        <v xml:space="preserve">Ford, Andrew. </v>
      </c>
      <c r="F675" t="str">
        <f>("O'Reilly, ")</f>
        <v xml:space="preserve">O'Reilly, </v>
      </c>
      <c r="G675" t="str">
        <f>("1st ed. ")</f>
        <v xml:space="preserve">1st ed. </v>
      </c>
      <c r="H675" t="str">
        <f t="shared" si="276"/>
        <v>圖書 book</v>
      </c>
      <c r="I675" t="str">
        <f>("TK5105.8885.A63 F699 2000")</f>
        <v>TK5105.8885.A63 F699 2000</v>
      </c>
      <c r="J675" t="str">
        <f>("1565927060")</f>
        <v>1565927060</v>
      </c>
      <c r="K675" t="str">
        <f>("280")</f>
        <v>280</v>
      </c>
      <c r="L675" t="str">
        <f t="shared" si="272"/>
        <v>2001/10/10 00:00:00</v>
      </c>
      <c r="M675" t="str">
        <f t="shared" si="277"/>
        <v>2018/08/11 13:34:41</v>
      </c>
      <c r="N675" t="str">
        <f>("2000")</f>
        <v>2000</v>
      </c>
      <c r="O675" t="str">
        <f t="shared" si="279"/>
        <v>4F西文書庫 4F Western Language Books</v>
      </c>
      <c r="P675" t="s">
        <v>64</v>
      </c>
      <c r="W675" t="str">
        <f t="shared" si="262"/>
        <v>美國國會圖書分類法</v>
      </c>
      <c r="Y675" t="str">
        <f>("TK5105.8885.A63")</f>
        <v>TK5105.8885.A63</v>
      </c>
      <c r="Z675" t="str">
        <f t="shared" si="278"/>
        <v>2018/08/11 13:34:41</v>
      </c>
      <c r="AA675" t="str">
        <f t="shared" si="269"/>
        <v>catc</v>
      </c>
      <c r="AC675" t="str">
        <f>("F699")</f>
        <v>F699</v>
      </c>
      <c r="AE675" t="str">
        <f t="shared" si="275"/>
        <v>c.1</v>
      </c>
      <c r="AF675" t="str">
        <f t="shared" si="280"/>
        <v>1.可借圖書</v>
      </c>
      <c r="AG675" t="str">
        <f t="shared" si="281"/>
        <v>在架</v>
      </c>
      <c r="AI675" t="s">
        <v>65</v>
      </c>
      <c r="AK675" t="str">
        <f t="shared" si="270"/>
        <v>一般(Normal)</v>
      </c>
      <c r="AO675" t="s">
        <v>65</v>
      </c>
      <c r="AS675" t="str">
        <f>("c2000. ")</f>
        <v xml:space="preserve">c2000. </v>
      </c>
      <c r="AT675" t="str">
        <f t="shared" si="271"/>
        <v>catc</v>
      </c>
    </row>
    <row r="676" spans="1:46" x14ac:dyDescent="0.25">
      <c r="A676">
        <v>665</v>
      </c>
      <c r="B676" t="str">
        <f>("289522")</f>
        <v>289522</v>
      </c>
      <c r="C676" t="str">
        <f>("W00002701")</f>
        <v>W00002701</v>
      </c>
      <c r="D676" t="str">
        <f>("Oracle SQL*Plus : pocket reference / ")</f>
        <v xml:space="preserve">Oracle SQL*Plus : pocket reference / </v>
      </c>
      <c r="E676" t="str">
        <f>("Gennick, Jonathan. ")</f>
        <v xml:space="preserve">Gennick, Jonathan. </v>
      </c>
      <c r="F676" t="str">
        <f>("O'Reilly, ")</f>
        <v xml:space="preserve">O'Reilly, </v>
      </c>
      <c r="G676" t="str">
        <f>("1st ed. ")</f>
        <v xml:space="preserve">1st ed. </v>
      </c>
      <c r="H676" t="str">
        <f t="shared" si="276"/>
        <v>圖書 book</v>
      </c>
      <c r="I676" t="str">
        <f>("QA76.9.D3 G333 2000")</f>
        <v>QA76.9.D3 G333 2000</v>
      </c>
      <c r="J676" t="str">
        <f>("1565929411")</f>
        <v>1565929411</v>
      </c>
      <c r="K676" t="str">
        <f>("256")</f>
        <v>256</v>
      </c>
      <c r="L676" t="str">
        <f t="shared" si="272"/>
        <v>2001/10/10 00:00:00</v>
      </c>
      <c r="M676" t="str">
        <f t="shared" si="277"/>
        <v>2018/08/11 13:34:41</v>
      </c>
      <c r="N676" t="str">
        <f>("2000")</f>
        <v>2000</v>
      </c>
      <c r="O676" t="str">
        <f t="shared" si="279"/>
        <v>4F西文書庫 4F Western Language Books</v>
      </c>
      <c r="P676" t="s">
        <v>64</v>
      </c>
      <c r="W676" t="str">
        <f t="shared" si="262"/>
        <v>美國國會圖書分類法</v>
      </c>
      <c r="Y676" t="str">
        <f>("QA76.9.D3")</f>
        <v>QA76.9.D3</v>
      </c>
      <c r="Z676" t="str">
        <f t="shared" si="278"/>
        <v>2018/08/11 13:34:41</v>
      </c>
      <c r="AA676" t="str">
        <f t="shared" si="269"/>
        <v>catc</v>
      </c>
      <c r="AC676" t="str">
        <f>("G333")</f>
        <v>G333</v>
      </c>
      <c r="AE676" t="str">
        <f t="shared" si="275"/>
        <v>c.1</v>
      </c>
      <c r="AF676" t="str">
        <f t="shared" si="280"/>
        <v>1.可借圖書</v>
      </c>
      <c r="AG676" t="str">
        <f t="shared" si="281"/>
        <v>在架</v>
      </c>
      <c r="AI676" t="s">
        <v>65</v>
      </c>
      <c r="AK676" t="str">
        <f t="shared" si="270"/>
        <v>一般(Normal)</v>
      </c>
      <c r="AO676" t="s">
        <v>65</v>
      </c>
      <c r="AS676" t="str">
        <f>("2000. ")</f>
        <v xml:space="preserve">2000. </v>
      </c>
      <c r="AT676" t="str">
        <f t="shared" si="271"/>
        <v>catc</v>
      </c>
    </row>
    <row r="677" spans="1:46" x14ac:dyDescent="0.25">
      <c r="A677">
        <v>666</v>
      </c>
      <c r="B677" t="str">
        <f>("289523")</f>
        <v>289523</v>
      </c>
      <c r="C677" t="str">
        <f>("W00002702")</f>
        <v>W00002702</v>
      </c>
      <c r="D677" t="str">
        <f>("Oracle PL/SQL language : pocket reference / ")</f>
        <v xml:space="preserve">Oracle PL/SQL language : pocket reference / </v>
      </c>
      <c r="E677" t="str">
        <f>("Feuerstein, Steven. ")</f>
        <v xml:space="preserve">Feuerstein, Steven. </v>
      </c>
      <c r="F677" t="str">
        <f>("O'Reilly, ")</f>
        <v xml:space="preserve">O'Reilly, </v>
      </c>
      <c r="H677" t="str">
        <f t="shared" si="276"/>
        <v>圖書 book</v>
      </c>
      <c r="I677" t="str">
        <f>("QA76.9.D3 F423 1999")</f>
        <v>QA76.9.D3 F423 1999</v>
      </c>
      <c r="J677" t="str">
        <f>("1565924576")</f>
        <v>1565924576</v>
      </c>
      <c r="K677" t="str">
        <f>("256")</f>
        <v>256</v>
      </c>
      <c r="L677" t="str">
        <f t="shared" si="272"/>
        <v>2001/10/10 00:00:00</v>
      </c>
      <c r="M677" t="str">
        <f t="shared" si="277"/>
        <v>2018/08/11 13:34:41</v>
      </c>
      <c r="N677" t="str">
        <f>("1999")</f>
        <v>1999</v>
      </c>
      <c r="O677" t="str">
        <f t="shared" si="279"/>
        <v>4F西文書庫 4F Western Language Books</v>
      </c>
      <c r="P677" t="s">
        <v>64</v>
      </c>
      <c r="W677" t="str">
        <f t="shared" si="262"/>
        <v>美國國會圖書分類法</v>
      </c>
      <c r="Y677" t="str">
        <f>("QA76.9.D3")</f>
        <v>QA76.9.D3</v>
      </c>
      <c r="Z677" t="str">
        <f t="shared" si="278"/>
        <v>2018/08/11 13:34:41</v>
      </c>
      <c r="AA677" t="str">
        <f t="shared" si="269"/>
        <v>catc</v>
      </c>
      <c r="AC677" t="str">
        <f>("F423")</f>
        <v>F423</v>
      </c>
      <c r="AE677" t="str">
        <f t="shared" si="275"/>
        <v>c.1</v>
      </c>
      <c r="AF677" t="str">
        <f t="shared" si="280"/>
        <v>1.可借圖書</v>
      </c>
      <c r="AG677" t="str">
        <f t="shared" si="281"/>
        <v>在架</v>
      </c>
      <c r="AI677" t="s">
        <v>65</v>
      </c>
      <c r="AK677" t="str">
        <f t="shared" si="270"/>
        <v>一般(Normal)</v>
      </c>
      <c r="AO677" t="s">
        <v>65</v>
      </c>
      <c r="AS677" t="str">
        <f>("c1999. ")</f>
        <v xml:space="preserve">c1999. </v>
      </c>
      <c r="AT677" t="str">
        <f t="shared" si="271"/>
        <v>catc</v>
      </c>
    </row>
    <row r="678" spans="1:46" x14ac:dyDescent="0.25">
      <c r="A678">
        <v>667</v>
      </c>
      <c r="B678" t="str">
        <f>("289524")</f>
        <v>289524</v>
      </c>
      <c r="C678" t="str">
        <f>("W00002703")</f>
        <v>W00002703</v>
      </c>
      <c r="D678" t="str">
        <f>("COM+ developer's guide / ")</f>
        <v xml:space="preserve">COM+ developer's guide / </v>
      </c>
      <c r="E678" t="str">
        <f>("Mueller, John, 1958- ")</f>
        <v xml:space="preserve">Mueller, John, 1958- </v>
      </c>
      <c r="F678" t="str">
        <f>("Osborne/McGraw-Hill, ")</f>
        <v xml:space="preserve">Osborne/McGraw-Hill, </v>
      </c>
      <c r="H678" t="str">
        <f t="shared" si="276"/>
        <v>圖書 book</v>
      </c>
      <c r="I678" t="str">
        <f>("QA76.9.A73 M947 2000")</f>
        <v>QA76.9.A73 M947 2000</v>
      </c>
      <c r="J678" t="str">
        <f>("007212086X")</f>
        <v>007212086X</v>
      </c>
      <c r="K678" t="str">
        <f>("1264")</f>
        <v>1264</v>
      </c>
      <c r="L678" t="str">
        <f t="shared" si="272"/>
        <v>2001/10/10 00:00:00</v>
      </c>
      <c r="M678" t="str">
        <f t="shared" ref="M678:M683" si="282">("2018/08/11 13:34:42")</f>
        <v>2018/08/11 13:34:42</v>
      </c>
      <c r="N678" t="str">
        <f>("2000")</f>
        <v>2000</v>
      </c>
      <c r="O678" t="str">
        <f t="shared" si="279"/>
        <v>4F西文書庫 4F Western Language Books</v>
      </c>
      <c r="P678" t="s">
        <v>64</v>
      </c>
      <c r="W678" t="str">
        <f t="shared" si="262"/>
        <v>美國國會圖書分類法</v>
      </c>
      <c r="Y678" t="str">
        <f>("QA76.9.A73")</f>
        <v>QA76.9.A73</v>
      </c>
      <c r="Z678" t="str">
        <f t="shared" ref="Z678:Z683" si="283">("2018/08/11 13:34:42")</f>
        <v>2018/08/11 13:34:42</v>
      </c>
      <c r="AA678" t="str">
        <f t="shared" si="269"/>
        <v>catc</v>
      </c>
      <c r="AC678" t="str">
        <f>("M947")</f>
        <v>M947</v>
      </c>
      <c r="AE678" t="str">
        <f t="shared" si="275"/>
        <v>c.1</v>
      </c>
      <c r="AF678" t="str">
        <f t="shared" si="280"/>
        <v>1.可借圖書</v>
      </c>
      <c r="AG678" t="str">
        <f t="shared" si="281"/>
        <v>在架</v>
      </c>
      <c r="AI678" t="s">
        <v>65</v>
      </c>
      <c r="AK678" t="str">
        <f t="shared" si="270"/>
        <v>一般(Normal)</v>
      </c>
      <c r="AO678" t="s">
        <v>65</v>
      </c>
      <c r="AS678" t="str">
        <f>("c2000. ")</f>
        <v xml:space="preserve">c2000. </v>
      </c>
      <c r="AT678" t="str">
        <f t="shared" si="271"/>
        <v>catc</v>
      </c>
    </row>
    <row r="679" spans="1:46" x14ac:dyDescent="0.25">
      <c r="A679">
        <v>668</v>
      </c>
      <c r="B679" t="str">
        <f>("289508")</f>
        <v>289508</v>
      </c>
      <c r="C679" t="str">
        <f>("W00002704")</f>
        <v>W00002704</v>
      </c>
      <c r="D679" t="str">
        <f>("Building interactive entertainment and E-commerce content for Microsoft TV / ")</f>
        <v xml:space="preserve">Building interactive entertainment and E-commerce content for Microsoft TV / </v>
      </c>
      <c r="E679" t="str">
        <f>("Krebs, Peter J., 1957- ")</f>
        <v xml:space="preserve">Krebs, Peter J., 1957- </v>
      </c>
      <c r="F679" t="str">
        <f>("Microsoft Press, ")</f>
        <v xml:space="preserve">Microsoft Press, </v>
      </c>
      <c r="H679" t="str">
        <f t="shared" si="276"/>
        <v>圖書 book</v>
      </c>
      <c r="I679" t="str">
        <f>("TK5105.8885.M545 K92 2000")</f>
        <v>TK5105.8885.M545 K92 2000</v>
      </c>
      <c r="J679" t="str">
        <f>("0735606285")</f>
        <v>0735606285</v>
      </c>
      <c r="K679" t="str">
        <f>("1120")</f>
        <v>1120</v>
      </c>
      <c r="L679" t="str">
        <f t="shared" si="272"/>
        <v>2001/10/10 00:00:00</v>
      </c>
      <c r="M679" t="str">
        <f t="shared" si="282"/>
        <v>2018/08/11 13:34:42</v>
      </c>
      <c r="N679" t="str">
        <f>("2000")</f>
        <v>2000</v>
      </c>
      <c r="O679" t="str">
        <f t="shared" si="279"/>
        <v>4F西文書庫 4F Western Language Books</v>
      </c>
      <c r="P679" t="s">
        <v>64</v>
      </c>
      <c r="W679" t="str">
        <f t="shared" si="262"/>
        <v>美國國會圖書分類法</v>
      </c>
      <c r="Y679" t="str">
        <f>("TK5105.8885.M545")</f>
        <v>TK5105.8885.M545</v>
      </c>
      <c r="Z679" t="str">
        <f t="shared" si="283"/>
        <v>2018/08/11 13:34:42</v>
      </c>
      <c r="AA679" t="str">
        <f t="shared" si="269"/>
        <v>catc</v>
      </c>
      <c r="AC679" t="str">
        <f>("K92")</f>
        <v>K92</v>
      </c>
      <c r="AE679" t="str">
        <f t="shared" si="275"/>
        <v>c.1</v>
      </c>
      <c r="AF679" t="str">
        <f t="shared" si="280"/>
        <v>1.可借圖書</v>
      </c>
      <c r="AG679" t="str">
        <f t="shared" si="281"/>
        <v>在架</v>
      </c>
      <c r="AI679" t="s">
        <v>65</v>
      </c>
      <c r="AK679" t="str">
        <f t="shared" si="270"/>
        <v>一般(Normal)</v>
      </c>
      <c r="AO679" t="s">
        <v>65</v>
      </c>
      <c r="AS679" t="str">
        <f>("2000. ")</f>
        <v xml:space="preserve">2000. </v>
      </c>
      <c r="AT679" t="str">
        <f t="shared" si="271"/>
        <v>catc</v>
      </c>
    </row>
    <row r="680" spans="1:46" x14ac:dyDescent="0.25">
      <c r="A680">
        <v>669</v>
      </c>
      <c r="B680" t="str">
        <f>("289509")</f>
        <v>289509</v>
      </c>
      <c r="C680" t="str">
        <f>("W00002705")</f>
        <v>W00002705</v>
      </c>
      <c r="D680" t="str">
        <f>("Building data mining applications for CRM / ")</f>
        <v xml:space="preserve">Building data mining applications for CRM / </v>
      </c>
      <c r="E680" t="str">
        <f>("Berson, Alex. ")</f>
        <v xml:space="preserve">Berson, Alex. </v>
      </c>
      <c r="F680" t="str">
        <f>("McGraw-Hill, ")</f>
        <v xml:space="preserve">McGraw-Hill, </v>
      </c>
      <c r="H680" t="str">
        <f t="shared" si="276"/>
        <v>圖書 book</v>
      </c>
      <c r="I680" t="str">
        <f>("QA76.9.D343 B535 1999")</f>
        <v>QA76.9.D343 B535 1999</v>
      </c>
      <c r="J680" t="str">
        <f>("0071344446")</f>
        <v>0071344446</v>
      </c>
      <c r="K680" t="str">
        <f>("1400")</f>
        <v>1400</v>
      </c>
      <c r="L680" t="str">
        <f t="shared" si="272"/>
        <v>2001/10/10 00:00:00</v>
      </c>
      <c r="M680" t="str">
        <f t="shared" si="282"/>
        <v>2018/08/11 13:34:42</v>
      </c>
      <c r="N680" t="str">
        <f>("1999")</f>
        <v>1999</v>
      </c>
      <c r="O680" t="str">
        <f t="shared" si="279"/>
        <v>4F西文書庫 4F Western Language Books</v>
      </c>
      <c r="P680" t="s">
        <v>64</v>
      </c>
      <c r="W680" t="str">
        <f t="shared" si="262"/>
        <v>美國國會圖書分類法</v>
      </c>
      <c r="Y680" t="str">
        <f>("QA76.9.D343")</f>
        <v>QA76.9.D343</v>
      </c>
      <c r="Z680" t="str">
        <f t="shared" si="283"/>
        <v>2018/08/11 13:34:42</v>
      </c>
      <c r="AA680" t="str">
        <f t="shared" si="269"/>
        <v>catc</v>
      </c>
      <c r="AC680" t="str">
        <f>("B535")</f>
        <v>B535</v>
      </c>
      <c r="AE680" t="str">
        <f t="shared" si="275"/>
        <v>c.1</v>
      </c>
      <c r="AF680" t="str">
        <f t="shared" si="280"/>
        <v>1.可借圖書</v>
      </c>
      <c r="AG680" t="str">
        <f t="shared" si="281"/>
        <v>在架</v>
      </c>
      <c r="AI680" t="s">
        <v>65</v>
      </c>
      <c r="AK680" t="str">
        <f t="shared" si="270"/>
        <v>一般(Normal)</v>
      </c>
      <c r="AO680" t="s">
        <v>65</v>
      </c>
      <c r="AS680" t="str">
        <f>("c2000. ")</f>
        <v xml:space="preserve">c2000. </v>
      </c>
      <c r="AT680" t="str">
        <f t="shared" si="271"/>
        <v>catc</v>
      </c>
    </row>
    <row r="681" spans="1:46" x14ac:dyDescent="0.25">
      <c r="A681">
        <v>670</v>
      </c>
      <c r="B681" t="str">
        <f>("289510")</f>
        <v>289510</v>
      </c>
      <c r="C681" t="str">
        <f>("W00002706")</f>
        <v>W00002706</v>
      </c>
      <c r="D681" t="str">
        <f>("Building XML applications / ")</f>
        <v xml:space="preserve">Building XML applications / </v>
      </c>
      <c r="E681" t="str">
        <f>("St. Laurent, Simon. ")</f>
        <v xml:space="preserve">St. Laurent, Simon. </v>
      </c>
      <c r="F681" t="str">
        <f>("McGraw Hill, ")</f>
        <v xml:space="preserve">McGraw Hill, </v>
      </c>
      <c r="H681" t="str">
        <f t="shared" si="276"/>
        <v>圖書 book</v>
      </c>
      <c r="I681" t="str">
        <f>("QA76.76.H94 S782 1999")</f>
        <v>QA76.76.H94 S782 1999</v>
      </c>
      <c r="J681" t="str">
        <f>("0071341161")</f>
        <v>0071341161</v>
      </c>
      <c r="K681" t="str">
        <f>("1400")</f>
        <v>1400</v>
      </c>
      <c r="L681" t="str">
        <f t="shared" si="272"/>
        <v>2001/10/10 00:00:00</v>
      </c>
      <c r="M681" t="str">
        <f t="shared" si="282"/>
        <v>2018/08/11 13:34:42</v>
      </c>
      <c r="N681" t="str">
        <f>("1999")</f>
        <v>1999</v>
      </c>
      <c r="O681" t="str">
        <f t="shared" si="279"/>
        <v>4F西文書庫 4F Western Language Books</v>
      </c>
      <c r="P681" t="s">
        <v>64</v>
      </c>
      <c r="W681" t="str">
        <f t="shared" si="262"/>
        <v>美國國會圖書分類法</v>
      </c>
      <c r="Y681" t="str">
        <f>("QA76.76.H94")</f>
        <v>QA76.76.H94</v>
      </c>
      <c r="Z681" t="str">
        <f t="shared" si="283"/>
        <v>2018/08/11 13:34:42</v>
      </c>
      <c r="AA681" t="str">
        <f t="shared" si="269"/>
        <v>catc</v>
      </c>
      <c r="AC681" t="str">
        <f>("S782")</f>
        <v>S782</v>
      </c>
      <c r="AE681" t="str">
        <f t="shared" si="275"/>
        <v>c.1</v>
      </c>
      <c r="AF681" t="str">
        <f t="shared" si="280"/>
        <v>1.可借圖書</v>
      </c>
      <c r="AG681" t="str">
        <f t="shared" si="281"/>
        <v>在架</v>
      </c>
      <c r="AI681" t="s">
        <v>65</v>
      </c>
      <c r="AK681" t="str">
        <f t="shared" si="270"/>
        <v>一般(Normal)</v>
      </c>
      <c r="AO681" t="s">
        <v>65</v>
      </c>
      <c r="AS681" t="str">
        <f>("1999. ")</f>
        <v xml:space="preserve">1999. </v>
      </c>
      <c r="AT681" t="str">
        <f t="shared" si="271"/>
        <v>catc</v>
      </c>
    </row>
    <row r="682" spans="1:46" x14ac:dyDescent="0.25">
      <c r="A682">
        <v>671</v>
      </c>
      <c r="B682" t="str">
        <f>("289511")</f>
        <v>289511</v>
      </c>
      <c r="C682" t="str">
        <f>("W00002707")</f>
        <v>W00002707</v>
      </c>
      <c r="D682" t="str">
        <f>("Debugging Windows programs : strategies, tools, and techniques for Visual C++ programmers / ")</f>
        <v xml:space="preserve">Debugging Windows programs : strategies, tools, and techniques for Visual C++ programmers / </v>
      </c>
      <c r="E682" t="str">
        <f>("McKay, Everett N.,  1961- ")</f>
        <v xml:space="preserve">McKay, Everett N.,  1961- </v>
      </c>
      <c r="F682" t="str">
        <f>("Addison-Wesley, ")</f>
        <v xml:space="preserve">Addison-Wesley, </v>
      </c>
      <c r="H682" t="str">
        <f t="shared" si="276"/>
        <v>圖書 book</v>
      </c>
      <c r="I682" t="str">
        <f>("QA76.9.D43 M111 2000")</f>
        <v>QA76.9.D43 M111 2000</v>
      </c>
      <c r="J682" t="str">
        <f>("020170238X")</f>
        <v>020170238X</v>
      </c>
      <c r="K682" t="str">
        <f>("1264")</f>
        <v>1264</v>
      </c>
      <c r="L682" t="str">
        <f t="shared" si="272"/>
        <v>2001/10/10 00:00:00</v>
      </c>
      <c r="M682" t="str">
        <f t="shared" si="282"/>
        <v>2018/08/11 13:34:42</v>
      </c>
      <c r="N682" t="str">
        <f>("2000")</f>
        <v>2000</v>
      </c>
      <c r="O682" t="str">
        <f t="shared" si="279"/>
        <v>4F西文書庫 4F Western Language Books</v>
      </c>
      <c r="P682" t="s">
        <v>64</v>
      </c>
      <c r="W682" t="str">
        <f t="shared" si="262"/>
        <v>美國國會圖書分類法</v>
      </c>
      <c r="Y682" t="str">
        <f>("QA76.9.D43")</f>
        <v>QA76.9.D43</v>
      </c>
      <c r="Z682" t="str">
        <f t="shared" si="283"/>
        <v>2018/08/11 13:34:42</v>
      </c>
      <c r="AA682" t="str">
        <f t="shared" si="269"/>
        <v>catc</v>
      </c>
      <c r="AC682" t="str">
        <f>("M111")</f>
        <v>M111</v>
      </c>
      <c r="AE682" t="str">
        <f t="shared" si="275"/>
        <v>c.1</v>
      </c>
      <c r="AF682" t="str">
        <f t="shared" si="280"/>
        <v>1.可借圖書</v>
      </c>
      <c r="AG682" t="str">
        <f t="shared" si="281"/>
        <v>在架</v>
      </c>
      <c r="AI682" t="s">
        <v>65</v>
      </c>
      <c r="AK682" t="str">
        <f t="shared" si="270"/>
        <v>一般(Normal)</v>
      </c>
      <c r="AO682" t="s">
        <v>65</v>
      </c>
      <c r="AS682" t="str">
        <f>("c2000. ")</f>
        <v xml:space="preserve">c2000. </v>
      </c>
      <c r="AT682" t="str">
        <f t="shared" si="271"/>
        <v>catc</v>
      </c>
    </row>
    <row r="683" spans="1:46" x14ac:dyDescent="0.25">
      <c r="A683">
        <v>672</v>
      </c>
      <c r="B683" t="str">
        <f>("289512")</f>
        <v>289512</v>
      </c>
      <c r="C683" t="str">
        <f>("W00002708")</f>
        <v>W00002708</v>
      </c>
      <c r="D683" t="str">
        <f>("Intrusion signatures and analysis / ")</f>
        <v xml:space="preserve">Intrusion signatures and analysis / </v>
      </c>
      <c r="E683" t="str">
        <f>("Northcutt, Stephen.")</f>
        <v>Northcutt, Stephen.</v>
      </c>
      <c r="F683" t="str">
        <f>("New Riders, ")</f>
        <v xml:space="preserve">New Riders, </v>
      </c>
      <c r="G683" t="str">
        <f>("1st ed. ")</f>
        <v xml:space="preserve">1st ed. </v>
      </c>
      <c r="H683" t="str">
        <f t="shared" si="276"/>
        <v>圖書 book</v>
      </c>
      <c r="I683" t="str">
        <f>("TK5105.59 N873 2001")</f>
        <v>TK5105.59 N873 2001</v>
      </c>
      <c r="J683" t="str">
        <f>("0735710635")</f>
        <v>0735710635</v>
      </c>
      <c r="K683" t="str">
        <f>("1120")</f>
        <v>1120</v>
      </c>
      <c r="L683" t="str">
        <f t="shared" si="272"/>
        <v>2001/10/10 00:00:00</v>
      </c>
      <c r="M683" t="str">
        <f t="shared" si="282"/>
        <v>2018/08/11 13:34:42</v>
      </c>
      <c r="N683" t="str">
        <f>("2001")</f>
        <v>2001</v>
      </c>
      <c r="O683" t="str">
        <f t="shared" si="279"/>
        <v>4F西文書庫 4F Western Language Books</v>
      </c>
      <c r="P683" t="s">
        <v>64</v>
      </c>
      <c r="W683" t="str">
        <f t="shared" si="262"/>
        <v>美國國會圖書分類法</v>
      </c>
      <c r="Y683" t="str">
        <f>("TK5105.59")</f>
        <v>TK5105.59</v>
      </c>
      <c r="Z683" t="str">
        <f t="shared" si="283"/>
        <v>2018/08/11 13:34:42</v>
      </c>
      <c r="AA683" t="str">
        <f t="shared" si="269"/>
        <v>catc</v>
      </c>
      <c r="AC683" t="str">
        <f>("N873")</f>
        <v>N873</v>
      </c>
      <c r="AE683" t="str">
        <f t="shared" si="275"/>
        <v>c.1</v>
      </c>
      <c r="AF683" t="str">
        <f t="shared" si="280"/>
        <v>1.可借圖書</v>
      </c>
      <c r="AG683" t="str">
        <f t="shared" si="281"/>
        <v>在架</v>
      </c>
      <c r="AI683" t="s">
        <v>65</v>
      </c>
      <c r="AK683" t="str">
        <f t="shared" si="270"/>
        <v>一般(Normal)</v>
      </c>
      <c r="AO683" t="s">
        <v>65</v>
      </c>
      <c r="AS683" t="str">
        <f>("2001. ")</f>
        <v xml:space="preserve">2001. </v>
      </c>
      <c r="AT683" t="str">
        <f t="shared" si="271"/>
        <v>catc</v>
      </c>
    </row>
    <row r="684" spans="1:46" x14ac:dyDescent="0.25">
      <c r="A684">
        <v>673</v>
      </c>
      <c r="B684" t="str">
        <f>("290543")</f>
        <v>290543</v>
      </c>
      <c r="C684" t="str">
        <f>("W00002709")</f>
        <v>W00002709</v>
      </c>
      <c r="D684" t="str">
        <f>("Java and XML  ")</f>
        <v xml:space="preserve">Java and XML  </v>
      </c>
      <c r="E684" t="str">
        <f>("McLaughlin, Brett. ")</f>
        <v xml:space="preserve">McLaughlin, Brett. </v>
      </c>
      <c r="F684" t="str">
        <f>("O'Reilly, ")</f>
        <v xml:space="preserve">O'Reilly, </v>
      </c>
      <c r="H684" t="str">
        <f t="shared" si="276"/>
        <v>圖書 book</v>
      </c>
      <c r="I684" t="str">
        <f>("QA76.73.J38 M111 2000")</f>
        <v>QA76.73.J38 M111 2000</v>
      </c>
      <c r="J684" t="str">
        <f>("0596000162")</f>
        <v>0596000162</v>
      </c>
      <c r="K684" t="str">
        <f>("1120")</f>
        <v>1120</v>
      </c>
      <c r="L684" t="str">
        <f>("2002/02/01 00:00:00")</f>
        <v>2002/02/01 00:00:00</v>
      </c>
      <c r="M684" t="str">
        <f>("2018/08/11 13:36:35")</f>
        <v>2018/08/11 13:36:35</v>
      </c>
      <c r="N684" t="str">
        <f>("2000")</f>
        <v>2000</v>
      </c>
      <c r="O684" t="str">
        <f t="shared" si="279"/>
        <v>4F西文書庫 4F Western Language Books</v>
      </c>
      <c r="P684" t="s">
        <v>64</v>
      </c>
      <c r="W684" t="str">
        <f t="shared" si="262"/>
        <v>美國國會圖書分類法</v>
      </c>
      <c r="Y684" t="str">
        <f>("QA76.73.J38")</f>
        <v>QA76.73.J38</v>
      </c>
      <c r="Z684" t="str">
        <f>("2018/08/11 13:36:35")</f>
        <v>2018/08/11 13:36:35</v>
      </c>
      <c r="AA684" t="str">
        <f t="shared" si="269"/>
        <v>catc</v>
      </c>
      <c r="AC684" t="str">
        <f>("M111")</f>
        <v>M111</v>
      </c>
      <c r="AE684" t="str">
        <f t="shared" si="275"/>
        <v>c.1</v>
      </c>
      <c r="AF684" t="str">
        <f t="shared" si="280"/>
        <v>1.可借圖書</v>
      </c>
      <c r="AG684" t="str">
        <f t="shared" si="281"/>
        <v>在架</v>
      </c>
      <c r="AI684" t="s">
        <v>65</v>
      </c>
      <c r="AK684" t="str">
        <f t="shared" si="270"/>
        <v>一般(Normal)</v>
      </c>
      <c r="AO684" t="s">
        <v>65</v>
      </c>
      <c r="AS684" t="str">
        <f>("2000. ")</f>
        <v xml:space="preserve">2000. </v>
      </c>
      <c r="AT684" t="str">
        <f t="shared" si="271"/>
        <v>catc</v>
      </c>
    </row>
    <row r="685" spans="1:46" x14ac:dyDescent="0.25">
      <c r="A685">
        <v>674</v>
      </c>
      <c r="B685" t="str">
        <f>("289513")</f>
        <v>289513</v>
      </c>
      <c r="C685" t="str">
        <f>("W00002710")</f>
        <v>W00002710</v>
      </c>
      <c r="D685" t="str">
        <f>("Essential WinInet : developing applications using the Windows Internet API with RAS, ISAPI, ASP, and COM / ")</f>
        <v xml:space="preserve">Essential WinInet : developing applications using the Windows Internet API with RAS, ISAPI, ASP, and COM / </v>
      </c>
      <c r="E685" t="str">
        <f>("Skonnard, Aaron. ")</f>
        <v xml:space="preserve">Skonnard, Aaron. </v>
      </c>
      <c r="F685" t="str">
        <f>("Addison-Wesley, ")</f>
        <v xml:space="preserve">Addison-Wesley, </v>
      </c>
      <c r="H685" t="str">
        <f t="shared" si="276"/>
        <v>圖書 book</v>
      </c>
      <c r="I685" t="str">
        <f>("QA76.76.A65 S626 1999")</f>
        <v>QA76.76.A65 S626 1999</v>
      </c>
      <c r="J685" t="str">
        <f>("0201379368")</f>
        <v>0201379368</v>
      </c>
      <c r="K685" t="str">
        <f>("1264")</f>
        <v>1264</v>
      </c>
      <c r="L685" t="str">
        <f t="shared" ref="L685:L721" si="284">("2001/10/10 00:00:00")</f>
        <v>2001/10/10 00:00:00</v>
      </c>
      <c r="M685" t="str">
        <f>("2018/08/11 13:34:42")</f>
        <v>2018/08/11 13:34:42</v>
      </c>
      <c r="N685" t="str">
        <f>("1999")</f>
        <v>1999</v>
      </c>
      <c r="O685" t="str">
        <f t="shared" si="279"/>
        <v>4F西文書庫 4F Western Language Books</v>
      </c>
      <c r="P685" t="s">
        <v>64</v>
      </c>
      <c r="W685" t="str">
        <f t="shared" si="262"/>
        <v>美國國會圖書分類法</v>
      </c>
      <c r="Y685" t="str">
        <f>("QA76.76.A65")</f>
        <v>QA76.76.A65</v>
      </c>
      <c r="Z685" t="str">
        <f>("2018/08/11 13:34:42")</f>
        <v>2018/08/11 13:34:42</v>
      </c>
      <c r="AA685" t="str">
        <f t="shared" si="269"/>
        <v>catc</v>
      </c>
      <c r="AC685" t="str">
        <f>("S626")</f>
        <v>S626</v>
      </c>
      <c r="AE685" t="str">
        <f t="shared" si="275"/>
        <v>c.1</v>
      </c>
      <c r="AF685" t="str">
        <f t="shared" si="280"/>
        <v>1.可借圖書</v>
      </c>
      <c r="AG685" t="str">
        <f t="shared" si="281"/>
        <v>在架</v>
      </c>
      <c r="AI685" t="s">
        <v>65</v>
      </c>
      <c r="AK685" t="str">
        <f t="shared" si="270"/>
        <v>一般(Normal)</v>
      </c>
      <c r="AO685" t="s">
        <v>65</v>
      </c>
      <c r="AS685" t="str">
        <f>("c1999. ")</f>
        <v xml:space="preserve">c1999. </v>
      </c>
      <c r="AT685" t="str">
        <f t="shared" si="271"/>
        <v>catc</v>
      </c>
    </row>
    <row r="686" spans="1:46" x14ac:dyDescent="0.25">
      <c r="A686">
        <v>675</v>
      </c>
      <c r="B686" t="str">
        <f>("289525")</f>
        <v>289525</v>
      </c>
      <c r="C686" t="str">
        <f>("W00002711")</f>
        <v>W00002711</v>
      </c>
      <c r="D686" t="str">
        <f>("Java message service / ")</f>
        <v xml:space="preserve">Java message service / </v>
      </c>
      <c r="E686" t="str">
        <f>("Monson-Haefel, Richard. ")</f>
        <v xml:space="preserve">Monson-Haefel, Richard. </v>
      </c>
      <c r="F686" t="str">
        <f>("O'Reilly, ")</f>
        <v xml:space="preserve">O'Reilly, </v>
      </c>
      <c r="H686" t="str">
        <f t="shared" si="276"/>
        <v>圖書 book</v>
      </c>
      <c r="I686" t="str">
        <f>("QA76.73.J38 M755 2001")</f>
        <v>QA76.73.J38 M755 2001</v>
      </c>
      <c r="J686" t="str">
        <f>("0596000685")</f>
        <v>0596000685</v>
      </c>
      <c r="K686" t="str">
        <f>("984")</f>
        <v>984</v>
      </c>
      <c r="L686" t="str">
        <f t="shared" si="284"/>
        <v>2001/10/10 00:00:00</v>
      </c>
      <c r="M686" t="str">
        <f>("2018/08/11 13:34:42")</f>
        <v>2018/08/11 13:34:42</v>
      </c>
      <c r="N686" t="str">
        <f>("2001")</f>
        <v>2001</v>
      </c>
      <c r="O686" t="str">
        <f t="shared" si="279"/>
        <v>4F西文書庫 4F Western Language Books</v>
      </c>
      <c r="P686" t="s">
        <v>64</v>
      </c>
      <c r="W686" t="str">
        <f t="shared" si="262"/>
        <v>美國國會圖書分類法</v>
      </c>
      <c r="Y686" t="str">
        <f>("QA76.73.J38")</f>
        <v>QA76.73.J38</v>
      </c>
      <c r="Z686" t="str">
        <f>("2018/08/11 13:34:42")</f>
        <v>2018/08/11 13:34:42</v>
      </c>
      <c r="AA686" t="str">
        <f t="shared" si="269"/>
        <v>catc</v>
      </c>
      <c r="AC686" t="str">
        <f>("M755")</f>
        <v>M755</v>
      </c>
      <c r="AE686" t="str">
        <f t="shared" si="275"/>
        <v>c.1</v>
      </c>
      <c r="AF686" t="str">
        <f t="shared" si="280"/>
        <v>1.可借圖書</v>
      </c>
      <c r="AG686" t="str">
        <f t="shared" si="281"/>
        <v>在架</v>
      </c>
      <c r="AI686" t="s">
        <v>65</v>
      </c>
      <c r="AK686" t="str">
        <f t="shared" si="270"/>
        <v>一般(Normal)</v>
      </c>
      <c r="AO686" t="s">
        <v>65</v>
      </c>
      <c r="AS686" t="str">
        <f>("c2001. ")</f>
        <v xml:space="preserve">c2001. </v>
      </c>
      <c r="AT686" t="str">
        <f t="shared" si="271"/>
        <v>catc</v>
      </c>
    </row>
    <row r="687" spans="1:46" x14ac:dyDescent="0.25">
      <c r="A687">
        <v>676</v>
      </c>
      <c r="B687" t="str">
        <f>("289526")</f>
        <v>289526</v>
      </c>
      <c r="C687" t="str">
        <f>("W00002712")</f>
        <v>W00002712</v>
      </c>
      <c r="D687" t="str">
        <f>("Java distributed computing / ")</f>
        <v xml:space="preserve">Java distributed computing / </v>
      </c>
      <c r="E687" t="str">
        <f>("Farley, Jim. ")</f>
        <v xml:space="preserve">Farley, Jim. </v>
      </c>
      <c r="F687" t="str">
        <f>("O'Reilly, ")</f>
        <v xml:space="preserve">O'Reilly, </v>
      </c>
      <c r="G687" t="str">
        <f>("1st ed. ")</f>
        <v xml:space="preserve">1st ed. </v>
      </c>
      <c r="H687" t="str">
        <f t="shared" si="276"/>
        <v>圖書 book</v>
      </c>
      <c r="I687" t="str">
        <f>("QA76.9.D5 F232 1998")</f>
        <v>QA76.9.D5 F232 1998</v>
      </c>
      <c r="J687" t="str">
        <f>("1565922069")</f>
        <v>1565922069</v>
      </c>
      <c r="K687" t="str">
        <f>("928")</f>
        <v>928</v>
      </c>
      <c r="L687" t="str">
        <f t="shared" si="284"/>
        <v>2001/10/10 00:00:00</v>
      </c>
      <c r="M687" t="str">
        <f>("2018/08/11 13:34:42")</f>
        <v>2018/08/11 13:34:42</v>
      </c>
      <c r="N687" t="str">
        <f>("1998")</f>
        <v>1998</v>
      </c>
      <c r="O687" t="str">
        <f t="shared" si="279"/>
        <v>4F西文書庫 4F Western Language Books</v>
      </c>
      <c r="P687" t="s">
        <v>64</v>
      </c>
      <c r="W687" t="str">
        <f t="shared" si="262"/>
        <v>美國國會圖書分類法</v>
      </c>
      <c r="Y687" t="str">
        <f>("QA76.9.D5")</f>
        <v>QA76.9.D5</v>
      </c>
      <c r="Z687" t="str">
        <f>("2018/08/11 13:34:42")</f>
        <v>2018/08/11 13:34:42</v>
      </c>
      <c r="AA687" t="str">
        <f t="shared" si="269"/>
        <v>catc</v>
      </c>
      <c r="AC687" t="str">
        <f>("F232")</f>
        <v>F232</v>
      </c>
      <c r="AE687" t="str">
        <f t="shared" si="275"/>
        <v>c.1</v>
      </c>
      <c r="AF687" t="str">
        <f t="shared" si="280"/>
        <v>1.可借圖書</v>
      </c>
      <c r="AG687" t="str">
        <f t="shared" si="281"/>
        <v>在架</v>
      </c>
      <c r="AI687" t="s">
        <v>65</v>
      </c>
      <c r="AK687" t="str">
        <f t="shared" si="270"/>
        <v>一般(Normal)</v>
      </c>
      <c r="AO687" t="s">
        <v>65</v>
      </c>
      <c r="AS687" t="str">
        <f>("1998. ")</f>
        <v xml:space="preserve">1998. </v>
      </c>
      <c r="AT687" t="str">
        <f t="shared" si="271"/>
        <v>catc</v>
      </c>
    </row>
    <row r="688" spans="1:46" x14ac:dyDescent="0.25">
      <c r="A688">
        <v>677</v>
      </c>
      <c r="B688" t="str">
        <f>("289527")</f>
        <v>289527</v>
      </c>
      <c r="C688" t="str">
        <f>("W00002713")</f>
        <v>W00002713</v>
      </c>
      <c r="D688" t="str">
        <f>("IP network design / ")</f>
        <v xml:space="preserve">IP network design / </v>
      </c>
      <c r="E688" t="str">
        <f>("Long, Cormac S. ")</f>
        <v xml:space="preserve">Long, Cormac S. </v>
      </c>
      <c r="F688" t="str">
        <f>("Osborne/McGraw-Hill, ")</f>
        <v xml:space="preserve">Osborne/McGraw-Hill, </v>
      </c>
      <c r="H688" t="str">
        <f t="shared" si="276"/>
        <v>圖書 book</v>
      </c>
      <c r="I688" t="str">
        <f>("TK5105.5 L848 2001")</f>
        <v>TK5105.5 L848 2001</v>
      </c>
      <c r="J688" t="str">
        <f>("0072129999")</f>
        <v>0072129999</v>
      </c>
      <c r="K688" t="str">
        <f>("1498")</f>
        <v>1498</v>
      </c>
      <c r="L688" t="str">
        <f t="shared" si="284"/>
        <v>2001/10/10 00:00:00</v>
      </c>
      <c r="M688" t="str">
        <f>("2018/08/11 13:34:42")</f>
        <v>2018/08/11 13:34:42</v>
      </c>
      <c r="N688" t="str">
        <f>("2001")</f>
        <v>2001</v>
      </c>
      <c r="O688" t="str">
        <f t="shared" si="279"/>
        <v>4F西文書庫 4F Western Language Books</v>
      </c>
      <c r="P688" t="s">
        <v>64</v>
      </c>
      <c r="W688" t="str">
        <f t="shared" si="262"/>
        <v>美國國會圖書分類法</v>
      </c>
      <c r="Y688" t="str">
        <f>("TK5105.5")</f>
        <v>TK5105.5</v>
      </c>
      <c r="Z688" t="str">
        <f>("2018/08/11 13:34:42")</f>
        <v>2018/08/11 13:34:42</v>
      </c>
      <c r="AA688" t="str">
        <f t="shared" si="269"/>
        <v>catc</v>
      </c>
      <c r="AC688" t="str">
        <f>("L848")</f>
        <v>L848</v>
      </c>
      <c r="AE688" t="str">
        <f t="shared" si="275"/>
        <v>c.1</v>
      </c>
      <c r="AF688" t="str">
        <f t="shared" si="280"/>
        <v>1.可借圖書</v>
      </c>
      <c r="AG688" t="str">
        <f t="shared" si="281"/>
        <v>在架</v>
      </c>
      <c r="AI688" t="s">
        <v>65</v>
      </c>
      <c r="AK688" t="str">
        <f t="shared" si="270"/>
        <v>一般(Normal)</v>
      </c>
      <c r="AO688" t="s">
        <v>65</v>
      </c>
      <c r="AS688" t="str">
        <f>("c2001. ")</f>
        <v xml:space="preserve">c2001. </v>
      </c>
      <c r="AT688" t="str">
        <f t="shared" si="271"/>
        <v>catc</v>
      </c>
    </row>
    <row r="689" spans="1:46" x14ac:dyDescent="0.25">
      <c r="A689">
        <v>678</v>
      </c>
      <c r="B689" t="str">
        <f>("289528")</f>
        <v>289528</v>
      </c>
      <c r="C689" t="str">
        <f>("W00002714")</f>
        <v>W00002714</v>
      </c>
      <c r="D689" t="str">
        <f>("Concise guide to enterprise internetworking and security / ")</f>
        <v xml:space="preserve">Concise guide to enterprise internetworking and security / </v>
      </c>
      <c r="E689" t="str">
        <f>("Cassidy, Kyle. ")</f>
        <v xml:space="preserve">Cassidy, Kyle. </v>
      </c>
      <c r="F689" t="str">
        <f>("Que, ")</f>
        <v xml:space="preserve">Que, </v>
      </c>
      <c r="H689" t="str">
        <f t="shared" si="276"/>
        <v>圖書 book</v>
      </c>
      <c r="I689" t="str">
        <f>("QA76.76.O63 S345 2001")</f>
        <v>QA76.76.O63 S345 2001</v>
      </c>
      <c r="J689" t="str">
        <f>("0789724200")</f>
        <v>0789724200</v>
      </c>
      <c r="K689" t="str">
        <f>("1120")</f>
        <v>1120</v>
      </c>
      <c r="L689" t="str">
        <f t="shared" si="284"/>
        <v>2001/10/10 00:00:00</v>
      </c>
      <c r="M689" t="str">
        <f t="shared" ref="M689:M697" si="285">("2018/08/11 13:34:43")</f>
        <v>2018/08/11 13:34:43</v>
      </c>
      <c r="N689" t="str">
        <f>("2001")</f>
        <v>2001</v>
      </c>
      <c r="O689" t="str">
        <f t="shared" si="279"/>
        <v>4F西文書庫 4F Western Language Books</v>
      </c>
      <c r="P689" t="s">
        <v>64</v>
      </c>
      <c r="W689" t="str">
        <f t="shared" si="262"/>
        <v>美國國會圖書分類法</v>
      </c>
      <c r="Y689" t="str">
        <f>("QA76.76.O63")</f>
        <v>QA76.76.O63</v>
      </c>
      <c r="Z689" t="str">
        <f t="shared" ref="Z689:Z697" si="286">("2018/08/11 13:34:43")</f>
        <v>2018/08/11 13:34:43</v>
      </c>
      <c r="AA689" t="str">
        <f t="shared" si="269"/>
        <v>catc</v>
      </c>
      <c r="AC689" t="str">
        <f>("S345")</f>
        <v>S345</v>
      </c>
      <c r="AE689" t="str">
        <f t="shared" si="275"/>
        <v>c.1</v>
      </c>
      <c r="AF689" t="str">
        <f t="shared" si="280"/>
        <v>1.可借圖書</v>
      </c>
      <c r="AG689" t="str">
        <f t="shared" si="281"/>
        <v>在架</v>
      </c>
      <c r="AI689" t="s">
        <v>65</v>
      </c>
      <c r="AK689" t="str">
        <f t="shared" si="270"/>
        <v>一般(Normal)</v>
      </c>
      <c r="AO689" t="s">
        <v>65</v>
      </c>
      <c r="AS689" t="str">
        <f>("c2001. ")</f>
        <v xml:space="preserve">c2001. </v>
      </c>
      <c r="AT689" t="str">
        <f t="shared" si="271"/>
        <v>catc</v>
      </c>
    </row>
    <row r="690" spans="1:46" x14ac:dyDescent="0.25">
      <c r="A690">
        <v>679</v>
      </c>
      <c r="B690" t="str">
        <f>("289529")</f>
        <v>289529</v>
      </c>
      <c r="C690" t="str">
        <f>("W00002715")</f>
        <v>W00002715</v>
      </c>
      <c r="D690" t="str">
        <f>("Designing flexible object-oriented systems with UML / ")</f>
        <v xml:space="preserve">Designing flexible object-oriented systems with UML / </v>
      </c>
      <c r="E690" t="str">
        <f>("Richter, Charles. ")</f>
        <v xml:space="preserve">Richter, Charles. </v>
      </c>
      <c r="F690" t="str">
        <f>("Macmillan Technical Pub., ")</f>
        <v xml:space="preserve">Macmillan Technical Pub., </v>
      </c>
      <c r="H690" t="str">
        <f t="shared" si="276"/>
        <v>圖書 book</v>
      </c>
      <c r="I690" t="str">
        <f>("QA76.64 R535 1999")</f>
        <v>QA76.64 R535 1999</v>
      </c>
      <c r="J690" t="str">
        <f>("1578700981")</f>
        <v>1578700981</v>
      </c>
      <c r="K690" t="str">
        <f>("1120")</f>
        <v>1120</v>
      </c>
      <c r="L690" t="str">
        <f t="shared" si="284"/>
        <v>2001/10/10 00:00:00</v>
      </c>
      <c r="M690" t="str">
        <f t="shared" si="285"/>
        <v>2018/08/11 13:34:43</v>
      </c>
      <c r="N690" t="str">
        <f>("1999")</f>
        <v>1999</v>
      </c>
      <c r="O690" t="str">
        <f t="shared" si="279"/>
        <v>4F西文書庫 4F Western Language Books</v>
      </c>
      <c r="P690" t="s">
        <v>64</v>
      </c>
      <c r="S690" t="str">
        <f>("xii, 404 p. : ")</f>
        <v xml:space="preserve">xii, 404 p. : </v>
      </c>
      <c r="T690" t="str">
        <f>("ill. ; ")</f>
        <v xml:space="preserve">ill. ; </v>
      </c>
      <c r="U690" t="str">
        <f>("23 cm. ")</f>
        <v xml:space="preserve">23 cm. </v>
      </c>
      <c r="W690" t="str">
        <f t="shared" si="262"/>
        <v>美國國會圖書分類法</v>
      </c>
      <c r="Y690" t="str">
        <f>("QA76.64")</f>
        <v>QA76.64</v>
      </c>
      <c r="Z690" t="str">
        <f t="shared" si="286"/>
        <v>2018/08/11 13:34:43</v>
      </c>
      <c r="AA690" t="str">
        <f t="shared" si="269"/>
        <v>catc</v>
      </c>
      <c r="AC690" t="str">
        <f>("R535")</f>
        <v>R535</v>
      </c>
      <c r="AE690" t="str">
        <f t="shared" si="275"/>
        <v>c.1</v>
      </c>
      <c r="AF690" t="str">
        <f t="shared" si="280"/>
        <v>1.可借圖書</v>
      </c>
      <c r="AG690" t="str">
        <f t="shared" si="281"/>
        <v>在架</v>
      </c>
      <c r="AI690" t="s">
        <v>65</v>
      </c>
      <c r="AK690" t="str">
        <f t="shared" si="270"/>
        <v>一般(Normal)</v>
      </c>
      <c r="AO690" t="s">
        <v>65</v>
      </c>
      <c r="AS690" t="str">
        <f>("c1999. ")</f>
        <v xml:space="preserve">c1999. </v>
      </c>
      <c r="AT690" t="str">
        <f t="shared" si="271"/>
        <v>catc</v>
      </c>
    </row>
    <row r="691" spans="1:46" x14ac:dyDescent="0.25">
      <c r="A691">
        <v>680</v>
      </c>
      <c r="B691" t="str">
        <f>("289530")</f>
        <v>289530</v>
      </c>
      <c r="C691" t="str">
        <f>("W00002716")</f>
        <v>W00002716</v>
      </c>
      <c r="D691" t="str">
        <f>("Voice over data networks / ")</f>
        <v xml:space="preserve">Voice over data networks / </v>
      </c>
      <c r="E691" t="str">
        <f>("Held, Gilbert, 1943- ")</f>
        <v xml:space="preserve">Held, Gilbert, 1943- </v>
      </c>
      <c r="F691" t="str">
        <f>("McGraw-Hill, ")</f>
        <v xml:space="preserve">McGraw-Hill, </v>
      </c>
      <c r="H691" t="str">
        <f t="shared" si="276"/>
        <v>圖書 book</v>
      </c>
      <c r="I691" t="str">
        <f>("TK5105.585 H474 1998")</f>
        <v>TK5105.585 H474 1998</v>
      </c>
      <c r="J691" t="str">
        <f>("0070281351")</f>
        <v>0070281351</v>
      </c>
      <c r="K691" t="str">
        <f>("1400")</f>
        <v>1400</v>
      </c>
      <c r="L691" t="str">
        <f t="shared" si="284"/>
        <v>2001/10/10 00:00:00</v>
      </c>
      <c r="M691" t="str">
        <f t="shared" si="285"/>
        <v>2018/08/11 13:34:43</v>
      </c>
      <c r="N691" t="str">
        <f>("1998")</f>
        <v>1998</v>
      </c>
      <c r="O691" t="str">
        <f t="shared" si="279"/>
        <v>4F西文書庫 4F Western Language Books</v>
      </c>
      <c r="P691" t="s">
        <v>64</v>
      </c>
      <c r="W691" t="str">
        <f t="shared" si="262"/>
        <v>美國國會圖書分類法</v>
      </c>
      <c r="Y691" t="str">
        <f>("TK5105.585")</f>
        <v>TK5105.585</v>
      </c>
      <c r="Z691" t="str">
        <f t="shared" si="286"/>
        <v>2018/08/11 13:34:43</v>
      </c>
      <c r="AA691" t="str">
        <f t="shared" si="269"/>
        <v>catc</v>
      </c>
      <c r="AC691" t="str">
        <f>("H474")</f>
        <v>H474</v>
      </c>
      <c r="AE691" t="str">
        <f t="shared" si="275"/>
        <v>c.1</v>
      </c>
      <c r="AF691" t="str">
        <f t="shared" si="280"/>
        <v>1.可借圖書</v>
      </c>
      <c r="AG691" t="str">
        <f t="shared" si="281"/>
        <v>在架</v>
      </c>
      <c r="AI691" t="s">
        <v>65</v>
      </c>
      <c r="AK691" t="str">
        <f t="shared" si="270"/>
        <v>一般(Normal)</v>
      </c>
      <c r="AO691" t="s">
        <v>65</v>
      </c>
      <c r="AS691" t="str">
        <f>("c1998. ")</f>
        <v xml:space="preserve">c1998. </v>
      </c>
      <c r="AT691" t="str">
        <f t="shared" si="271"/>
        <v>catc</v>
      </c>
    </row>
    <row r="692" spans="1:46" x14ac:dyDescent="0.25">
      <c r="A692">
        <v>681</v>
      </c>
      <c r="B692" t="str">
        <f>("289514")</f>
        <v>289514</v>
      </c>
      <c r="C692" t="str">
        <f>("W00002717")</f>
        <v>W00002717</v>
      </c>
      <c r="D692" t="str">
        <f>("Program development in Java : abstraction, specification, and object-oriented design / ")</f>
        <v xml:space="preserve">Program development in Java : abstraction, specification, and object-oriented design / </v>
      </c>
      <c r="E692" t="str">
        <f>("Liskov, B. ")</f>
        <v xml:space="preserve">Liskov, B. </v>
      </c>
      <c r="F692" t="str">
        <f>("Addison-Wesley, ")</f>
        <v xml:space="preserve">Addison-Wesley, </v>
      </c>
      <c r="H692" t="str">
        <f t="shared" si="276"/>
        <v>圖書 book</v>
      </c>
      <c r="I692" t="str">
        <f>("QA76.73.J38 L769 2000")</f>
        <v>QA76.73.J38 L769 2000</v>
      </c>
      <c r="J692" t="str">
        <f>("0201657686")</f>
        <v>0201657686</v>
      </c>
      <c r="K692" t="str">
        <f>("1400")</f>
        <v>1400</v>
      </c>
      <c r="L692" t="str">
        <f t="shared" si="284"/>
        <v>2001/10/10 00:00:00</v>
      </c>
      <c r="M692" t="str">
        <f t="shared" si="285"/>
        <v>2018/08/11 13:34:43</v>
      </c>
      <c r="N692" t="str">
        <f>("2000")</f>
        <v>2000</v>
      </c>
      <c r="O692" t="str">
        <f t="shared" si="279"/>
        <v>4F西文書庫 4F Western Language Books</v>
      </c>
      <c r="P692" t="s">
        <v>64</v>
      </c>
      <c r="W692" t="str">
        <f t="shared" si="262"/>
        <v>美國國會圖書分類法</v>
      </c>
      <c r="Y692" t="str">
        <f>("QA76.73.J38")</f>
        <v>QA76.73.J38</v>
      </c>
      <c r="Z692" t="str">
        <f t="shared" si="286"/>
        <v>2018/08/11 13:34:43</v>
      </c>
      <c r="AA692" t="str">
        <f t="shared" si="269"/>
        <v>catc</v>
      </c>
      <c r="AC692" t="str">
        <f>("L769")</f>
        <v>L769</v>
      </c>
      <c r="AE692" t="str">
        <f t="shared" ref="AE692:AE700" si="287">("c.1")</f>
        <v>c.1</v>
      </c>
      <c r="AF692" t="str">
        <f t="shared" si="280"/>
        <v>1.可借圖書</v>
      </c>
      <c r="AG692" t="str">
        <f t="shared" si="281"/>
        <v>在架</v>
      </c>
      <c r="AI692" t="s">
        <v>65</v>
      </c>
      <c r="AK692" t="str">
        <f t="shared" si="270"/>
        <v>一般(Normal)</v>
      </c>
      <c r="AO692" t="s">
        <v>65</v>
      </c>
      <c r="AS692" t="str">
        <f>("2001. ")</f>
        <v xml:space="preserve">2001. </v>
      </c>
      <c r="AT692" t="str">
        <f t="shared" si="271"/>
        <v>catc</v>
      </c>
    </row>
    <row r="693" spans="1:46" x14ac:dyDescent="0.25">
      <c r="A693">
        <v>682</v>
      </c>
      <c r="B693" t="str">
        <f>("289515")</f>
        <v>289515</v>
      </c>
      <c r="C693" t="str">
        <f>("W00002718")</f>
        <v>W00002718</v>
      </c>
      <c r="D693" t="str">
        <f>("Core JSP  ")</f>
        <v xml:space="preserve">Core JSP  </v>
      </c>
      <c r="E693" t="str">
        <f>("Hougland, Damon. ")</f>
        <v xml:space="preserve">Hougland, Damon. </v>
      </c>
      <c r="F693" t="str">
        <f>("Prentice Hall, ")</f>
        <v xml:space="preserve">Prentice Hall, </v>
      </c>
      <c r="H693" t="str">
        <f t="shared" si="276"/>
        <v>圖書 book</v>
      </c>
      <c r="I693" t="str">
        <f>("QA76.73.J38 H838 2001")</f>
        <v>QA76.73.J38 H838 2001</v>
      </c>
      <c r="J693" t="str">
        <f>("0130882488")</f>
        <v>0130882488</v>
      </c>
      <c r="K693" t="str">
        <f>("1264")</f>
        <v>1264</v>
      </c>
      <c r="L693" t="str">
        <f t="shared" si="284"/>
        <v>2001/10/10 00:00:00</v>
      </c>
      <c r="M693" t="str">
        <f t="shared" si="285"/>
        <v>2018/08/11 13:34:43</v>
      </c>
      <c r="N693" t="str">
        <f>("2001")</f>
        <v>2001</v>
      </c>
      <c r="O693" t="str">
        <f t="shared" si="279"/>
        <v>4F西文書庫 4F Western Language Books</v>
      </c>
      <c r="P693" t="s">
        <v>64</v>
      </c>
      <c r="W693" t="str">
        <f t="shared" ref="W693:W756" si="288">("美國國會圖書分類法")</f>
        <v>美國國會圖書分類法</v>
      </c>
      <c r="Y693" t="str">
        <f>("QA76.73.J38")</f>
        <v>QA76.73.J38</v>
      </c>
      <c r="Z693" t="str">
        <f t="shared" si="286"/>
        <v>2018/08/11 13:34:43</v>
      </c>
      <c r="AA693" t="str">
        <f t="shared" si="269"/>
        <v>catc</v>
      </c>
      <c r="AC693" t="str">
        <f>("H838")</f>
        <v>H838</v>
      </c>
      <c r="AE693" t="str">
        <f t="shared" si="287"/>
        <v>c.1</v>
      </c>
      <c r="AF693" t="str">
        <f t="shared" si="280"/>
        <v>1.可借圖書</v>
      </c>
      <c r="AG693" t="str">
        <f t="shared" si="281"/>
        <v>在架</v>
      </c>
      <c r="AI693" t="s">
        <v>65</v>
      </c>
      <c r="AK693" t="str">
        <f t="shared" si="270"/>
        <v>一般(Normal)</v>
      </c>
      <c r="AO693" t="s">
        <v>65</v>
      </c>
      <c r="AS693" t="str">
        <f>("c2001. ")</f>
        <v xml:space="preserve">c2001. </v>
      </c>
      <c r="AT693" t="str">
        <f t="shared" si="271"/>
        <v>catc</v>
      </c>
    </row>
    <row r="694" spans="1:46" x14ac:dyDescent="0.25">
      <c r="A694">
        <v>683</v>
      </c>
      <c r="B694" t="str">
        <f>("289516")</f>
        <v>289516</v>
      </c>
      <c r="C694" t="str">
        <f>("W00002719")</f>
        <v>W00002719</v>
      </c>
      <c r="D694" t="str">
        <f>("DAO object model : the definitive reference / ")</f>
        <v xml:space="preserve">DAO object model : the definitive reference / </v>
      </c>
      <c r="E694" t="str">
        <f>("Feddema, Helen Bell. ")</f>
        <v xml:space="preserve">Feddema, Helen Bell. </v>
      </c>
      <c r="F694" t="str">
        <f>("O'Reilly, ")</f>
        <v xml:space="preserve">O'Reilly, </v>
      </c>
      <c r="G694" t="str">
        <f>("1st ed. ")</f>
        <v xml:space="preserve">1st ed. </v>
      </c>
      <c r="H694" t="str">
        <f t="shared" si="276"/>
        <v>圖書 book</v>
      </c>
      <c r="I694" t="str">
        <f>("QA76.9.D3 F292 2000")</f>
        <v>QA76.9.D3 F292 2000</v>
      </c>
      <c r="J694" t="str">
        <f>("1565924355")</f>
        <v>1565924355</v>
      </c>
      <c r="K694" t="str">
        <f>("948")</f>
        <v>948</v>
      </c>
      <c r="L694" t="str">
        <f t="shared" si="284"/>
        <v>2001/10/10 00:00:00</v>
      </c>
      <c r="M694" t="str">
        <f t="shared" si="285"/>
        <v>2018/08/11 13:34:43</v>
      </c>
      <c r="N694" t="str">
        <f>("2000")</f>
        <v>2000</v>
      </c>
      <c r="O694" t="str">
        <f t="shared" si="279"/>
        <v>4F西文書庫 4F Western Language Books</v>
      </c>
      <c r="P694" t="s">
        <v>64</v>
      </c>
      <c r="W694" t="str">
        <f t="shared" si="288"/>
        <v>美國國會圖書分類法</v>
      </c>
      <c r="Y694" t="str">
        <f>("QA76.9.D3")</f>
        <v>QA76.9.D3</v>
      </c>
      <c r="Z694" t="str">
        <f t="shared" si="286"/>
        <v>2018/08/11 13:34:43</v>
      </c>
      <c r="AA694" t="str">
        <f t="shared" si="269"/>
        <v>catc</v>
      </c>
      <c r="AC694" t="str">
        <f>("F292")</f>
        <v>F292</v>
      </c>
      <c r="AE694" t="str">
        <f t="shared" si="287"/>
        <v>c.1</v>
      </c>
      <c r="AF694" t="str">
        <f t="shared" si="280"/>
        <v>1.可借圖書</v>
      </c>
      <c r="AG694" t="str">
        <f t="shared" si="281"/>
        <v>在架</v>
      </c>
      <c r="AI694" t="s">
        <v>65</v>
      </c>
      <c r="AK694" t="str">
        <f t="shared" si="270"/>
        <v>一般(Normal)</v>
      </c>
      <c r="AO694" t="s">
        <v>65</v>
      </c>
      <c r="AS694" t="str">
        <f>("2000. ")</f>
        <v xml:space="preserve">2000. </v>
      </c>
      <c r="AT694" t="str">
        <f t="shared" si="271"/>
        <v>catc</v>
      </c>
    </row>
    <row r="695" spans="1:46" x14ac:dyDescent="0.25">
      <c r="A695">
        <v>684</v>
      </c>
      <c r="B695" t="str">
        <f>("289517")</f>
        <v>289517</v>
      </c>
      <c r="C695" t="str">
        <f>("W00002720")</f>
        <v>W00002720</v>
      </c>
      <c r="D695" t="str">
        <f>("Learning Java  ")</f>
        <v xml:space="preserve">Learning Java  </v>
      </c>
      <c r="E695" t="str">
        <f>("Niemeyer, Patrick. ")</f>
        <v xml:space="preserve">Niemeyer, Patrick. </v>
      </c>
      <c r="F695" t="str">
        <f>("O'Reilly, ")</f>
        <v xml:space="preserve">O'Reilly, </v>
      </c>
      <c r="G695" t="str">
        <f>("1st ed. ")</f>
        <v xml:space="preserve">1st ed. </v>
      </c>
      <c r="H695" t="str">
        <f t="shared" si="276"/>
        <v>圖書 book</v>
      </c>
      <c r="I695" t="str">
        <f>("QA76.73.J38 N672 2000")</f>
        <v>QA76.73.J38 N672 2000</v>
      </c>
      <c r="J695" t="str">
        <f>("1565927184")</f>
        <v>1565927184</v>
      </c>
      <c r="K695" t="str">
        <f>("984")</f>
        <v>984</v>
      </c>
      <c r="L695" t="str">
        <f t="shared" si="284"/>
        <v>2001/10/10 00:00:00</v>
      </c>
      <c r="M695" t="str">
        <f t="shared" si="285"/>
        <v>2018/08/11 13:34:43</v>
      </c>
      <c r="N695" t="str">
        <f>("2000")</f>
        <v>2000</v>
      </c>
      <c r="O695" t="str">
        <f t="shared" si="279"/>
        <v>4F西文書庫 4F Western Language Books</v>
      </c>
      <c r="P695" t="s">
        <v>64</v>
      </c>
      <c r="W695" t="str">
        <f t="shared" si="288"/>
        <v>美國國會圖書分類法</v>
      </c>
      <c r="Y695" t="str">
        <f>("QA76.73.J38")</f>
        <v>QA76.73.J38</v>
      </c>
      <c r="Z695" t="str">
        <f t="shared" si="286"/>
        <v>2018/08/11 13:34:43</v>
      </c>
      <c r="AA695" t="str">
        <f t="shared" si="269"/>
        <v>catc</v>
      </c>
      <c r="AC695" t="str">
        <f>("N672")</f>
        <v>N672</v>
      </c>
      <c r="AE695" t="str">
        <f t="shared" si="287"/>
        <v>c.1</v>
      </c>
      <c r="AF695" t="str">
        <f t="shared" si="280"/>
        <v>1.可借圖書</v>
      </c>
      <c r="AG695" t="str">
        <f t="shared" si="281"/>
        <v>在架</v>
      </c>
      <c r="AI695" t="s">
        <v>65</v>
      </c>
      <c r="AK695" t="str">
        <f t="shared" si="270"/>
        <v>一般(Normal)</v>
      </c>
      <c r="AO695" t="s">
        <v>65</v>
      </c>
      <c r="AS695" t="str">
        <f>("c2000. ")</f>
        <v xml:space="preserve">c2000. </v>
      </c>
      <c r="AT695" t="str">
        <f t="shared" si="271"/>
        <v>catc</v>
      </c>
    </row>
    <row r="696" spans="1:46" x14ac:dyDescent="0.25">
      <c r="A696">
        <v>685</v>
      </c>
      <c r="B696" t="str">
        <f>("289518")</f>
        <v>289518</v>
      </c>
      <c r="C696" t="str">
        <f>("W00002721")</f>
        <v>W00002721</v>
      </c>
      <c r="D696" t="str">
        <f>("IP telephony  ")</f>
        <v xml:space="preserve">IP telephony  </v>
      </c>
      <c r="E696" t="str">
        <f>("Goralski, Walter. ")</f>
        <v xml:space="preserve">Goralski, Walter. </v>
      </c>
      <c r="F696" t="str">
        <f>("McGraw-Hill, ")</f>
        <v xml:space="preserve">McGraw-Hill, </v>
      </c>
      <c r="H696" t="str">
        <f t="shared" si="276"/>
        <v>圖書 book</v>
      </c>
      <c r="I696" t="str">
        <f>("TK5105.8865 G661 2000")</f>
        <v>TK5105.8865 G661 2000</v>
      </c>
      <c r="J696" t="str">
        <f>("007135221X")</f>
        <v>007135221X</v>
      </c>
      <c r="K696" t="str">
        <f>("1498")</f>
        <v>1498</v>
      </c>
      <c r="L696" t="str">
        <f t="shared" si="284"/>
        <v>2001/10/10 00:00:00</v>
      </c>
      <c r="M696" t="str">
        <f t="shared" si="285"/>
        <v>2018/08/11 13:34:43</v>
      </c>
      <c r="N696" t="str">
        <f>("2000")</f>
        <v>2000</v>
      </c>
      <c r="O696" t="str">
        <f t="shared" si="279"/>
        <v>4F西文書庫 4F Western Language Books</v>
      </c>
      <c r="P696" t="s">
        <v>64</v>
      </c>
      <c r="W696" t="str">
        <f t="shared" si="288"/>
        <v>美國國會圖書分類法</v>
      </c>
      <c r="Y696" t="str">
        <f>("TK5105.8865")</f>
        <v>TK5105.8865</v>
      </c>
      <c r="Z696" t="str">
        <f t="shared" si="286"/>
        <v>2018/08/11 13:34:43</v>
      </c>
      <c r="AA696" t="str">
        <f t="shared" si="269"/>
        <v>catc</v>
      </c>
      <c r="AC696" t="str">
        <f>("G661")</f>
        <v>G661</v>
      </c>
      <c r="AE696" t="str">
        <f t="shared" si="287"/>
        <v>c.1</v>
      </c>
      <c r="AF696" t="str">
        <f t="shared" si="280"/>
        <v>1.可借圖書</v>
      </c>
      <c r="AG696" t="str">
        <f t="shared" si="281"/>
        <v>在架</v>
      </c>
      <c r="AI696" t="s">
        <v>65</v>
      </c>
      <c r="AK696" t="str">
        <f t="shared" si="270"/>
        <v>一般(Normal)</v>
      </c>
      <c r="AO696" t="s">
        <v>65</v>
      </c>
      <c r="AS696" t="str">
        <f>("c2000. ")</f>
        <v xml:space="preserve">c2000. </v>
      </c>
      <c r="AT696" t="str">
        <f t="shared" si="271"/>
        <v>catc</v>
      </c>
    </row>
    <row r="697" spans="1:46" x14ac:dyDescent="0.25">
      <c r="A697">
        <v>686</v>
      </c>
      <c r="B697" t="str">
        <f>("289519")</f>
        <v>289519</v>
      </c>
      <c r="C697" t="str">
        <f>("W00002722")</f>
        <v>W00002722</v>
      </c>
      <c r="D697" t="str">
        <f>("Designing Enterprise applications with the Java 2 Platform / ")</f>
        <v xml:space="preserve">Designing Enterprise applications with the Java 2 Platform / </v>
      </c>
      <c r="E697" t="str">
        <f>("Kassem, Nicholas. ")</f>
        <v xml:space="preserve">Kassem, Nicholas. </v>
      </c>
      <c r="F697" t="str">
        <f>("Addison-Wesley, ")</f>
        <v xml:space="preserve">Addison-Wesley, </v>
      </c>
      <c r="G697" t="str">
        <f>("Enterprise ed. ")</f>
        <v xml:space="preserve">Enterprise ed. </v>
      </c>
      <c r="H697" t="str">
        <f t="shared" si="276"/>
        <v>圖書 book</v>
      </c>
      <c r="I697" t="str">
        <f>("QA76.76.A65 K19 2000")</f>
        <v>QA76.76.A65 K19 2000</v>
      </c>
      <c r="J697" t="str">
        <f>("0201702770")</f>
        <v>0201702770</v>
      </c>
      <c r="K697" t="str">
        <f>("1064")</f>
        <v>1064</v>
      </c>
      <c r="L697" t="str">
        <f t="shared" si="284"/>
        <v>2001/10/10 00:00:00</v>
      </c>
      <c r="M697" t="str">
        <f t="shared" si="285"/>
        <v>2018/08/11 13:34:43</v>
      </c>
      <c r="N697" t="str">
        <f>("2000")</f>
        <v>2000</v>
      </c>
      <c r="O697" t="str">
        <f t="shared" si="279"/>
        <v>4F西文書庫 4F Western Language Books</v>
      </c>
      <c r="P697" t="s">
        <v>64</v>
      </c>
      <c r="W697" t="str">
        <f t="shared" si="288"/>
        <v>美國國會圖書分類法</v>
      </c>
      <c r="Y697" t="str">
        <f>("QA76.76.A65")</f>
        <v>QA76.76.A65</v>
      </c>
      <c r="Z697" t="str">
        <f t="shared" si="286"/>
        <v>2018/08/11 13:34:43</v>
      </c>
      <c r="AA697" t="str">
        <f t="shared" si="269"/>
        <v>catc</v>
      </c>
      <c r="AC697" t="str">
        <f>("K19")</f>
        <v>K19</v>
      </c>
      <c r="AE697" t="str">
        <f t="shared" si="287"/>
        <v>c.1</v>
      </c>
      <c r="AF697" t="str">
        <f t="shared" si="280"/>
        <v>1.可借圖書</v>
      </c>
      <c r="AG697" t="str">
        <f t="shared" si="281"/>
        <v>在架</v>
      </c>
      <c r="AI697" t="s">
        <v>65</v>
      </c>
      <c r="AK697" t="str">
        <f t="shared" si="270"/>
        <v>一般(Normal)</v>
      </c>
      <c r="AO697" t="s">
        <v>65</v>
      </c>
      <c r="AS697" t="str">
        <f>("c2000. ")</f>
        <v xml:space="preserve">c2000. </v>
      </c>
      <c r="AT697" t="str">
        <f t="shared" si="271"/>
        <v>catc</v>
      </c>
    </row>
    <row r="698" spans="1:46" x14ac:dyDescent="0.25">
      <c r="A698">
        <v>687</v>
      </c>
      <c r="B698" t="str">
        <f>("289531")</f>
        <v>289531</v>
      </c>
      <c r="C698" t="str">
        <f>("W00002723")</f>
        <v>W00002723</v>
      </c>
      <c r="D698" t="str">
        <f>("Core jini ")</f>
        <v xml:space="preserve">Core jini </v>
      </c>
      <c r="E698" t="str">
        <f>("Edwards ,W. Keith")</f>
        <v>Edwards ,W. Keith</v>
      </c>
      <c r="F698" t="str">
        <f>("Prentice-Hall, ")</f>
        <v xml:space="preserve">Prentice-Hall, </v>
      </c>
      <c r="G698" t="str">
        <f>("2nd ed.")</f>
        <v>2nd ed.</v>
      </c>
      <c r="H698" t="str">
        <f t="shared" si="276"/>
        <v>圖書 book</v>
      </c>
      <c r="I698" t="str">
        <f>("QA76.9.D5 E26 2001")</f>
        <v>QA76.9.D5 E26 2001</v>
      </c>
      <c r="J698" t="str">
        <f>("00130894087")</f>
        <v>00130894087</v>
      </c>
      <c r="K698" t="str">
        <f>("1498")</f>
        <v>1498</v>
      </c>
      <c r="L698" t="str">
        <f t="shared" si="284"/>
        <v>2001/10/10 00:00:00</v>
      </c>
      <c r="M698" t="str">
        <f t="shared" ref="M698:M707" si="289">("2018/08/11 13:34:44")</f>
        <v>2018/08/11 13:34:44</v>
      </c>
      <c r="N698" t="str">
        <f>("2001")</f>
        <v>2001</v>
      </c>
      <c r="O698" t="str">
        <f t="shared" si="279"/>
        <v>4F西文書庫 4F Western Language Books</v>
      </c>
      <c r="P698" t="s">
        <v>64</v>
      </c>
      <c r="W698" t="str">
        <f t="shared" si="288"/>
        <v>美國國會圖書分類法</v>
      </c>
      <c r="Y698" t="str">
        <f>("QA76.9.D5")</f>
        <v>QA76.9.D5</v>
      </c>
      <c r="Z698" t="str">
        <f t="shared" ref="Z698:Z707" si="290">("2018/08/11 13:34:44")</f>
        <v>2018/08/11 13:34:44</v>
      </c>
      <c r="AA698" t="str">
        <f t="shared" si="269"/>
        <v>catc</v>
      </c>
      <c r="AC698" t="str">
        <f>("E26")</f>
        <v>E26</v>
      </c>
      <c r="AE698" t="str">
        <f t="shared" si="287"/>
        <v>c.1</v>
      </c>
      <c r="AF698" t="str">
        <f t="shared" si="280"/>
        <v>1.可借圖書</v>
      </c>
      <c r="AG698" t="str">
        <f t="shared" si="281"/>
        <v>在架</v>
      </c>
      <c r="AI698" t="s">
        <v>65</v>
      </c>
      <c r="AK698" t="str">
        <f t="shared" si="270"/>
        <v>一般(Normal)</v>
      </c>
      <c r="AO698" t="s">
        <v>65</v>
      </c>
      <c r="AS698" t="str">
        <f>("2001.")</f>
        <v>2001.</v>
      </c>
      <c r="AT698" t="str">
        <f t="shared" si="271"/>
        <v>catc</v>
      </c>
    </row>
    <row r="699" spans="1:46" x14ac:dyDescent="0.25">
      <c r="A699">
        <v>688</v>
      </c>
      <c r="B699" t="str">
        <f>("289520")</f>
        <v>289520</v>
      </c>
      <c r="C699" t="str">
        <f>("W00002724")</f>
        <v>W00002724</v>
      </c>
      <c r="D699" t="str">
        <f>("Creating effective JavaHelp / ")</f>
        <v xml:space="preserve">Creating effective JavaHelp / </v>
      </c>
      <c r="E699" t="str">
        <f>("Lewis, Kevin. ")</f>
        <v xml:space="preserve">Lewis, Kevin. </v>
      </c>
      <c r="F699" t="str">
        <f>("O'Reilly, ")</f>
        <v xml:space="preserve">O'Reilly, </v>
      </c>
      <c r="G699" t="str">
        <f>("1st ed. ")</f>
        <v xml:space="preserve">1st ed. </v>
      </c>
      <c r="H699" t="str">
        <f t="shared" si="276"/>
        <v>圖書 book</v>
      </c>
      <c r="I699" t="str">
        <f>("QA76.73.J38 L673 2000")</f>
        <v>QA76.73.J38 L673 2000</v>
      </c>
      <c r="J699" t="str">
        <f>("1565927192")</f>
        <v>1565927192</v>
      </c>
      <c r="K699" t="str">
        <f>("840")</f>
        <v>840</v>
      </c>
      <c r="L699" t="str">
        <f t="shared" si="284"/>
        <v>2001/10/10 00:00:00</v>
      </c>
      <c r="M699" t="str">
        <f t="shared" si="289"/>
        <v>2018/08/11 13:34:44</v>
      </c>
      <c r="N699" t="str">
        <f>("2000")</f>
        <v>2000</v>
      </c>
      <c r="O699" t="str">
        <f t="shared" si="279"/>
        <v>4F西文書庫 4F Western Language Books</v>
      </c>
      <c r="P699" t="s">
        <v>64</v>
      </c>
      <c r="W699" t="str">
        <f t="shared" si="288"/>
        <v>美國國會圖書分類法</v>
      </c>
      <c r="Y699" t="str">
        <f>("QA76.73.J38")</f>
        <v>QA76.73.J38</v>
      </c>
      <c r="Z699" t="str">
        <f t="shared" si="290"/>
        <v>2018/08/11 13:34:44</v>
      </c>
      <c r="AA699" t="str">
        <f t="shared" si="269"/>
        <v>catc</v>
      </c>
      <c r="AC699" t="str">
        <f>("L673")</f>
        <v>L673</v>
      </c>
      <c r="AE699" t="str">
        <f t="shared" si="287"/>
        <v>c.1</v>
      </c>
      <c r="AF699" t="str">
        <f t="shared" si="280"/>
        <v>1.可借圖書</v>
      </c>
      <c r="AG699" t="str">
        <f t="shared" si="281"/>
        <v>在架</v>
      </c>
      <c r="AI699" t="s">
        <v>65</v>
      </c>
      <c r="AK699" t="str">
        <f t="shared" si="270"/>
        <v>一般(Normal)</v>
      </c>
      <c r="AO699" t="s">
        <v>65</v>
      </c>
      <c r="AS699" t="str">
        <f>("c2000. ")</f>
        <v xml:space="preserve">c2000. </v>
      </c>
      <c r="AT699" t="str">
        <f t="shared" si="271"/>
        <v>catc</v>
      </c>
    </row>
    <row r="700" spans="1:46" x14ac:dyDescent="0.25">
      <c r="A700">
        <v>689</v>
      </c>
      <c r="B700" t="str">
        <f>("289541")</f>
        <v>289541</v>
      </c>
      <c r="C700" t="str">
        <f>("W00002725")</f>
        <v>W00002725</v>
      </c>
      <c r="D700" t="str">
        <f>("IT manager's guide to virtual private networks / ")</f>
        <v xml:space="preserve">IT manager's guide to virtual private networks / </v>
      </c>
      <c r="E700" t="str">
        <f>("Clark, David, 1960- ")</f>
        <v xml:space="preserve">Clark, David, 1960- </v>
      </c>
      <c r="F700" t="str">
        <f>("McGraw-Hill, ")</f>
        <v xml:space="preserve">McGraw-Hill, </v>
      </c>
      <c r="H700" t="str">
        <f t="shared" si="276"/>
        <v>圖書 book</v>
      </c>
      <c r="I700" t="str">
        <f>("TK5105.875.E87 C592 1999")</f>
        <v>TK5105.875.E87 C592 1999</v>
      </c>
      <c r="J700" t="str">
        <f>("0071352023")</f>
        <v>0071352023</v>
      </c>
      <c r="K700" t="str">
        <f>("1498")</f>
        <v>1498</v>
      </c>
      <c r="L700" t="str">
        <f t="shared" si="284"/>
        <v>2001/10/10 00:00:00</v>
      </c>
      <c r="M700" t="str">
        <f t="shared" si="289"/>
        <v>2018/08/11 13:34:44</v>
      </c>
      <c r="N700" t="str">
        <f>("1999")</f>
        <v>1999</v>
      </c>
      <c r="O700" t="str">
        <f t="shared" si="279"/>
        <v>4F西文書庫 4F Western Language Books</v>
      </c>
      <c r="P700" t="s">
        <v>64</v>
      </c>
      <c r="W700" t="str">
        <f t="shared" si="288"/>
        <v>美國國會圖書分類法</v>
      </c>
      <c r="Y700" t="str">
        <f>("TK5105.875.E87")</f>
        <v>TK5105.875.E87</v>
      </c>
      <c r="Z700" t="str">
        <f t="shared" si="290"/>
        <v>2018/08/11 13:34:44</v>
      </c>
      <c r="AA700" t="str">
        <f t="shared" si="269"/>
        <v>catc</v>
      </c>
      <c r="AC700" t="str">
        <f>("C592")</f>
        <v>C592</v>
      </c>
      <c r="AE700" t="str">
        <f t="shared" si="287"/>
        <v>c.1</v>
      </c>
      <c r="AF700" t="str">
        <f t="shared" si="280"/>
        <v>1.可借圖書</v>
      </c>
      <c r="AG700" t="str">
        <f t="shared" si="281"/>
        <v>在架</v>
      </c>
      <c r="AI700" t="s">
        <v>65</v>
      </c>
      <c r="AK700" t="str">
        <f t="shared" si="270"/>
        <v>一般(Normal)</v>
      </c>
      <c r="AO700" t="s">
        <v>65</v>
      </c>
      <c r="AS700" t="str">
        <f>("c1999. ")</f>
        <v xml:space="preserve">c1999. </v>
      </c>
      <c r="AT700" t="str">
        <f t="shared" si="271"/>
        <v>catc</v>
      </c>
    </row>
    <row r="701" spans="1:46" x14ac:dyDescent="0.25">
      <c r="A701">
        <v>690</v>
      </c>
      <c r="B701" t="str">
        <f>("289542")</f>
        <v>289542</v>
      </c>
      <c r="C701" t="str">
        <f>("W00002726")</f>
        <v>W00002726</v>
      </c>
      <c r="D701" t="str">
        <f>("Developing enterprise applications : an impurist's view / ")</f>
        <v xml:space="preserve">Developing enterprise applications : an impurist's view / </v>
      </c>
      <c r="E701" t="str">
        <f>("Tindall, Paul, B.S. ")</f>
        <v xml:space="preserve">Tindall, Paul, B.S. </v>
      </c>
      <c r="F701" t="str">
        <f>("Que, ")</f>
        <v xml:space="preserve">Que, </v>
      </c>
      <c r="H701" t="str">
        <f t="shared" si="276"/>
        <v>圖書 book</v>
      </c>
      <c r="I701" t="str">
        <f>("QA76.76.A65 T588 2000 c.2")</f>
        <v>QA76.76.A65 T588 2000 c.2</v>
      </c>
      <c r="J701" t="str">
        <f>("0789722690")</f>
        <v>0789722690</v>
      </c>
      <c r="K701" t="str">
        <f>("984")</f>
        <v>984</v>
      </c>
      <c r="L701" t="str">
        <f t="shared" si="284"/>
        <v>2001/10/10 00:00:00</v>
      </c>
      <c r="M701" t="str">
        <f t="shared" si="289"/>
        <v>2018/08/11 13:34:44</v>
      </c>
      <c r="N701" t="str">
        <f>("2000")</f>
        <v>2000</v>
      </c>
      <c r="O701" t="str">
        <f t="shared" si="279"/>
        <v>4F西文書庫 4F Western Language Books</v>
      </c>
      <c r="P701" t="s">
        <v>64</v>
      </c>
      <c r="W701" t="str">
        <f t="shared" si="288"/>
        <v>美國國會圖書分類法</v>
      </c>
      <c r="Y701" t="str">
        <f>("QA76.76.A65")</f>
        <v>QA76.76.A65</v>
      </c>
      <c r="Z701" t="str">
        <f t="shared" si="290"/>
        <v>2018/08/11 13:34:44</v>
      </c>
      <c r="AA701" t="str">
        <f t="shared" si="269"/>
        <v>catc</v>
      </c>
      <c r="AC701" t="str">
        <f>("T588")</f>
        <v>T588</v>
      </c>
      <c r="AE701" t="str">
        <f>("c.2")</f>
        <v>c.2</v>
      </c>
      <c r="AF701" t="str">
        <f t="shared" si="280"/>
        <v>1.可借圖書</v>
      </c>
      <c r="AG701" t="str">
        <f t="shared" si="281"/>
        <v>在架</v>
      </c>
      <c r="AI701" t="s">
        <v>65</v>
      </c>
      <c r="AK701" t="str">
        <f t="shared" si="270"/>
        <v>一般(Normal)</v>
      </c>
      <c r="AO701" t="s">
        <v>65</v>
      </c>
      <c r="AS701" t="str">
        <f>("c2000. ")</f>
        <v xml:space="preserve">c2000. </v>
      </c>
      <c r="AT701" t="str">
        <f t="shared" si="271"/>
        <v>catc</v>
      </c>
    </row>
    <row r="702" spans="1:46" x14ac:dyDescent="0.25">
      <c r="A702">
        <v>691</v>
      </c>
      <c r="B702" t="str">
        <f>("289532")</f>
        <v>289532</v>
      </c>
      <c r="C702" t="str">
        <f>("W00002727")</f>
        <v>W00002727</v>
      </c>
      <c r="D702" t="str">
        <f>("Active Directory programming / ")</f>
        <v xml:space="preserve">Active Directory programming / </v>
      </c>
      <c r="E702" t="str">
        <f>("Kirkpatrick, Gil. ")</f>
        <v xml:space="preserve">Kirkpatrick, Gil. </v>
      </c>
      <c r="F702" t="str">
        <f>("Sams, ")</f>
        <v xml:space="preserve">Sams, </v>
      </c>
      <c r="H702" t="str">
        <f t="shared" si="276"/>
        <v>圖書 book</v>
      </c>
      <c r="I702" t="str">
        <f>("QA76.76.D47 K59 2000")</f>
        <v>QA76.76.D47 K59 2000</v>
      </c>
      <c r="J702" t="str">
        <f>("0672315874")</f>
        <v>0672315874</v>
      </c>
      <c r="K702" t="str">
        <f>("1120")</f>
        <v>1120</v>
      </c>
      <c r="L702" t="str">
        <f t="shared" si="284"/>
        <v>2001/10/10 00:00:00</v>
      </c>
      <c r="M702" t="str">
        <f t="shared" si="289"/>
        <v>2018/08/11 13:34:44</v>
      </c>
      <c r="N702" t="str">
        <f>("2000")</f>
        <v>2000</v>
      </c>
      <c r="O702" t="str">
        <f t="shared" si="279"/>
        <v>4F西文書庫 4F Western Language Books</v>
      </c>
      <c r="P702" t="s">
        <v>64</v>
      </c>
      <c r="W702" t="str">
        <f t="shared" si="288"/>
        <v>美國國會圖書分類法</v>
      </c>
      <c r="Y702" t="str">
        <f>("QA76.76.D47")</f>
        <v>QA76.76.D47</v>
      </c>
      <c r="Z702" t="str">
        <f t="shared" si="290"/>
        <v>2018/08/11 13:34:44</v>
      </c>
      <c r="AA702" t="str">
        <f t="shared" si="269"/>
        <v>catc</v>
      </c>
      <c r="AC702" t="str">
        <f>("K59")</f>
        <v>K59</v>
      </c>
      <c r="AE702" t="str">
        <f t="shared" ref="AE702:AE733" si="291">("c.1")</f>
        <v>c.1</v>
      </c>
      <c r="AF702" t="str">
        <f t="shared" si="280"/>
        <v>1.可借圖書</v>
      </c>
      <c r="AG702" t="str">
        <f t="shared" si="281"/>
        <v>在架</v>
      </c>
      <c r="AI702" t="s">
        <v>65</v>
      </c>
      <c r="AK702" t="str">
        <f t="shared" si="270"/>
        <v>一般(Normal)</v>
      </c>
      <c r="AO702" t="s">
        <v>65</v>
      </c>
      <c r="AS702" t="str">
        <f>("c2000. ")</f>
        <v xml:space="preserve">c2000. </v>
      </c>
      <c r="AT702" t="str">
        <f t="shared" si="271"/>
        <v>catc</v>
      </c>
    </row>
    <row r="703" spans="1:46" x14ac:dyDescent="0.25">
      <c r="A703">
        <v>692</v>
      </c>
      <c r="B703" t="str">
        <f>("289533")</f>
        <v>289533</v>
      </c>
      <c r="C703" t="str">
        <f>("W00002728")</f>
        <v>W00002728</v>
      </c>
      <c r="D703" t="str">
        <f>("Inside XML DTDs  ")</f>
        <v xml:space="preserve">Inside XML DTDs  </v>
      </c>
      <c r="E703" t="str">
        <f>("St. Laurent, Simon. ")</f>
        <v xml:space="preserve">St. Laurent, Simon. </v>
      </c>
      <c r="F703" t="str">
        <f>("McGraw-Hill, ")</f>
        <v xml:space="preserve">McGraw-Hill, </v>
      </c>
      <c r="H703" t="str">
        <f t="shared" si="276"/>
        <v>圖書 book</v>
      </c>
      <c r="I703" t="str">
        <f>("QA76.76.H94 S782 1999-2")</f>
        <v>QA76.76.H94 S782 1999-2</v>
      </c>
      <c r="J703" t="str">
        <f>("007134621X")</f>
        <v>007134621X</v>
      </c>
      <c r="K703" t="str">
        <f>("1400")</f>
        <v>1400</v>
      </c>
      <c r="L703" t="str">
        <f t="shared" si="284"/>
        <v>2001/10/10 00:00:00</v>
      </c>
      <c r="M703" t="str">
        <f t="shared" si="289"/>
        <v>2018/08/11 13:34:44</v>
      </c>
      <c r="N703" t="str">
        <f>("1999-2")</f>
        <v>1999-2</v>
      </c>
      <c r="O703" t="str">
        <f>("3F採編組辦公室")</f>
        <v>3F採編組辦公室</v>
      </c>
      <c r="P703" t="s">
        <v>64</v>
      </c>
      <c r="W703" t="str">
        <f t="shared" si="288"/>
        <v>美國國會圖書分類法</v>
      </c>
      <c r="Y703" t="str">
        <f>("QA76.76.H94")</f>
        <v>QA76.76.H94</v>
      </c>
      <c r="Z703" t="str">
        <f t="shared" si="290"/>
        <v>2018/08/11 13:34:44</v>
      </c>
      <c r="AA703" t="str">
        <f t="shared" si="269"/>
        <v>catc</v>
      </c>
      <c r="AC703" t="str">
        <f>("S782")</f>
        <v>S782</v>
      </c>
      <c r="AE703" t="str">
        <f t="shared" si="291"/>
        <v>c.1</v>
      </c>
      <c r="AF703" t="str">
        <f t="shared" si="280"/>
        <v>1.可借圖書</v>
      </c>
      <c r="AG703" t="str">
        <f>("報銷中")</f>
        <v>報銷中</v>
      </c>
      <c r="AI703" t="s">
        <v>66</v>
      </c>
      <c r="AK703" t="str">
        <f t="shared" si="270"/>
        <v>一般(Normal)</v>
      </c>
      <c r="AO703" t="s">
        <v>65</v>
      </c>
      <c r="AS703" t="str">
        <f>("1999. ")</f>
        <v xml:space="preserve">1999. </v>
      </c>
      <c r="AT703" t="str">
        <f t="shared" si="271"/>
        <v>catc</v>
      </c>
    </row>
    <row r="704" spans="1:46" x14ac:dyDescent="0.25">
      <c r="A704">
        <v>693</v>
      </c>
      <c r="B704" t="str">
        <f>("289534")</f>
        <v>289534</v>
      </c>
      <c r="C704" t="str">
        <f>("W00002729")</f>
        <v>W00002729</v>
      </c>
      <c r="D704" t="str">
        <f>("Distributed Java 2 platform : database development / ")</f>
        <v xml:space="preserve">Distributed Java 2 platform : database development / </v>
      </c>
      <c r="E704" t="str">
        <f>("Birnam, Stewart. ")</f>
        <v xml:space="preserve">Birnam, Stewart. </v>
      </c>
      <c r="F704" t="str">
        <f>("Sun Microsystems Press, ")</f>
        <v xml:space="preserve">Sun Microsystems Press, </v>
      </c>
      <c r="H704" t="str">
        <f t="shared" si="276"/>
        <v>圖書 book</v>
      </c>
      <c r="I704" t="str">
        <f>("QA76.73.J38 B617 2001")</f>
        <v>QA76.73.J38 B617 2001</v>
      </c>
      <c r="J704" t="str">
        <f>("0130268615")</f>
        <v>0130268615</v>
      </c>
      <c r="K704" t="str">
        <f>("1120")</f>
        <v>1120</v>
      </c>
      <c r="L704" t="str">
        <f t="shared" si="284"/>
        <v>2001/10/10 00:00:00</v>
      </c>
      <c r="M704" t="str">
        <f t="shared" si="289"/>
        <v>2018/08/11 13:34:44</v>
      </c>
      <c r="N704" t="str">
        <f>("2001")</f>
        <v>2001</v>
      </c>
      <c r="O704" t="str">
        <f t="shared" ref="O704:O730" si="292">("4F西文書庫 4F Western Language Books")</f>
        <v>4F西文書庫 4F Western Language Books</v>
      </c>
      <c r="P704" t="s">
        <v>64</v>
      </c>
      <c r="S704" t="str">
        <f>("xxi, 276 p. : ")</f>
        <v xml:space="preserve">xxi, 276 p. : </v>
      </c>
      <c r="T704" t="str">
        <f>("ill. ; ")</f>
        <v xml:space="preserve">ill. ; </v>
      </c>
      <c r="U704" t="str">
        <f>("24 cm. ")</f>
        <v xml:space="preserve">24 cm. </v>
      </c>
      <c r="W704" t="str">
        <f t="shared" si="288"/>
        <v>美國國會圖書分類法</v>
      </c>
      <c r="Y704" t="str">
        <f>("QA76.73.J38")</f>
        <v>QA76.73.J38</v>
      </c>
      <c r="Z704" t="str">
        <f t="shared" si="290"/>
        <v>2018/08/11 13:34:44</v>
      </c>
      <c r="AA704" t="str">
        <f t="shared" si="269"/>
        <v>catc</v>
      </c>
      <c r="AC704" t="str">
        <f>("B617")</f>
        <v>B617</v>
      </c>
      <c r="AE704" t="str">
        <f t="shared" si="291"/>
        <v>c.1</v>
      </c>
      <c r="AF704" t="str">
        <f t="shared" si="280"/>
        <v>1.可借圖書</v>
      </c>
      <c r="AG704" t="str">
        <f t="shared" ref="AG704:AG730" si="293">("在架")</f>
        <v>在架</v>
      </c>
      <c r="AI704" t="s">
        <v>65</v>
      </c>
      <c r="AK704" t="str">
        <f t="shared" si="270"/>
        <v>一般(Normal)</v>
      </c>
      <c r="AO704" t="s">
        <v>65</v>
      </c>
      <c r="AS704" t="str">
        <f>("c2001. ")</f>
        <v xml:space="preserve">c2001. </v>
      </c>
      <c r="AT704" t="str">
        <f t="shared" si="271"/>
        <v>catc</v>
      </c>
    </row>
    <row r="705" spans="1:46" x14ac:dyDescent="0.25">
      <c r="A705">
        <v>694</v>
      </c>
      <c r="B705" t="str">
        <f>("289542")</f>
        <v>289542</v>
      </c>
      <c r="C705" t="str">
        <f>("W00002730")</f>
        <v>W00002730</v>
      </c>
      <c r="D705" t="str">
        <f>("Developing enterprise applications : an impurist's view / ")</f>
        <v xml:space="preserve">Developing enterprise applications : an impurist's view / </v>
      </c>
      <c r="E705" t="str">
        <f>("Tindall, Paul, B.S. ")</f>
        <v xml:space="preserve">Tindall, Paul, B.S. </v>
      </c>
      <c r="F705" t="str">
        <f>("Que, ")</f>
        <v xml:space="preserve">Que, </v>
      </c>
      <c r="H705" t="str">
        <f t="shared" si="276"/>
        <v>圖書 book</v>
      </c>
      <c r="I705" t="str">
        <f>("QA76.76.A65 T588 2000")</f>
        <v>QA76.76.A65 T588 2000</v>
      </c>
      <c r="J705" t="str">
        <f>("0789722690")</f>
        <v>0789722690</v>
      </c>
      <c r="K705" t="str">
        <f>("1208")</f>
        <v>1208</v>
      </c>
      <c r="L705" t="str">
        <f t="shared" si="284"/>
        <v>2001/10/10 00:00:00</v>
      </c>
      <c r="M705" t="str">
        <f t="shared" si="289"/>
        <v>2018/08/11 13:34:44</v>
      </c>
      <c r="N705" t="str">
        <f>("2000")</f>
        <v>2000</v>
      </c>
      <c r="O705" t="str">
        <f t="shared" si="292"/>
        <v>4F西文書庫 4F Western Language Books</v>
      </c>
      <c r="P705" t="s">
        <v>64</v>
      </c>
      <c r="W705" t="str">
        <f t="shared" si="288"/>
        <v>美國國會圖書分類法</v>
      </c>
      <c r="Y705" t="str">
        <f>("QA76.76.A65")</f>
        <v>QA76.76.A65</v>
      </c>
      <c r="Z705" t="str">
        <f t="shared" si="290"/>
        <v>2018/08/11 13:34:44</v>
      </c>
      <c r="AA705" t="str">
        <f t="shared" si="269"/>
        <v>catc</v>
      </c>
      <c r="AC705" t="str">
        <f>("T588")</f>
        <v>T588</v>
      </c>
      <c r="AE705" t="str">
        <f t="shared" si="291"/>
        <v>c.1</v>
      </c>
      <c r="AF705" t="str">
        <f t="shared" si="280"/>
        <v>1.可借圖書</v>
      </c>
      <c r="AG705" t="str">
        <f t="shared" si="293"/>
        <v>在架</v>
      </c>
      <c r="AI705" t="s">
        <v>65</v>
      </c>
      <c r="AK705" t="str">
        <f t="shared" si="270"/>
        <v>一般(Normal)</v>
      </c>
      <c r="AO705" t="s">
        <v>65</v>
      </c>
      <c r="AS705" t="str">
        <f>("c2000. ")</f>
        <v xml:space="preserve">c2000. </v>
      </c>
      <c r="AT705" t="str">
        <f t="shared" si="271"/>
        <v>catc</v>
      </c>
    </row>
    <row r="706" spans="1:46" x14ac:dyDescent="0.25">
      <c r="A706">
        <v>695</v>
      </c>
      <c r="B706" t="str">
        <f>("289535")</f>
        <v>289535</v>
      </c>
      <c r="C706" t="str">
        <f>("W00002731")</f>
        <v>W00002731</v>
      </c>
      <c r="D706" t="str">
        <f>("Database programming with JDBC and Java / ")</f>
        <v xml:space="preserve">Database programming with JDBC and Java / </v>
      </c>
      <c r="E706" t="str">
        <f>("Reese, George. ")</f>
        <v xml:space="preserve">Reese, George. </v>
      </c>
      <c r="F706" t="str">
        <f>("O'Reilly, ")</f>
        <v xml:space="preserve">O'Reilly, </v>
      </c>
      <c r="G706" t="str">
        <f>("2nd ed. ")</f>
        <v xml:space="preserve">2nd ed. </v>
      </c>
      <c r="H706" t="str">
        <f t="shared" si="276"/>
        <v>圖書 book</v>
      </c>
      <c r="I706" t="str">
        <f>("QA76.9.D26 R329 2000")</f>
        <v>QA76.9.D26 R329 2000</v>
      </c>
      <c r="J706" t="str">
        <f>("1565926161")</f>
        <v>1565926161</v>
      </c>
      <c r="K706" t="str">
        <f>("984")</f>
        <v>984</v>
      </c>
      <c r="L706" t="str">
        <f t="shared" si="284"/>
        <v>2001/10/10 00:00:00</v>
      </c>
      <c r="M706" t="str">
        <f t="shared" si="289"/>
        <v>2018/08/11 13:34:44</v>
      </c>
      <c r="N706" t="str">
        <f>("2000")</f>
        <v>2000</v>
      </c>
      <c r="O706" t="str">
        <f t="shared" si="292"/>
        <v>4F西文書庫 4F Western Language Books</v>
      </c>
      <c r="P706" t="s">
        <v>64</v>
      </c>
      <c r="S706" t="str">
        <f>("xvii, 328 p. : ")</f>
        <v xml:space="preserve">xvii, 328 p. : </v>
      </c>
      <c r="T706" t="str">
        <f>("ill. ; ")</f>
        <v xml:space="preserve">ill. ; </v>
      </c>
      <c r="U706" t="str">
        <f>("24 cm. ")</f>
        <v xml:space="preserve">24 cm. </v>
      </c>
      <c r="W706" t="str">
        <f t="shared" si="288"/>
        <v>美國國會圖書分類法</v>
      </c>
      <c r="Y706" t="str">
        <f>("QA76.9.D26")</f>
        <v>QA76.9.D26</v>
      </c>
      <c r="Z706" t="str">
        <f t="shared" si="290"/>
        <v>2018/08/11 13:34:44</v>
      </c>
      <c r="AA706" t="str">
        <f t="shared" si="269"/>
        <v>catc</v>
      </c>
      <c r="AC706" t="str">
        <f>("R329")</f>
        <v>R329</v>
      </c>
      <c r="AE706" t="str">
        <f t="shared" si="291"/>
        <v>c.1</v>
      </c>
      <c r="AF706" t="str">
        <f t="shared" si="280"/>
        <v>1.可借圖書</v>
      </c>
      <c r="AG706" t="str">
        <f t="shared" si="293"/>
        <v>在架</v>
      </c>
      <c r="AI706" t="s">
        <v>65</v>
      </c>
      <c r="AK706" t="str">
        <f t="shared" si="270"/>
        <v>一般(Normal)</v>
      </c>
      <c r="AO706" t="s">
        <v>65</v>
      </c>
      <c r="AS706" t="str">
        <f>("c2000. ")</f>
        <v xml:space="preserve">c2000. </v>
      </c>
      <c r="AT706" t="str">
        <f t="shared" si="271"/>
        <v>catc</v>
      </c>
    </row>
    <row r="707" spans="1:46" x14ac:dyDescent="0.25">
      <c r="A707">
        <v>696</v>
      </c>
      <c r="B707" t="str">
        <f>("289536")</f>
        <v>289536</v>
      </c>
      <c r="C707" t="str">
        <f>("W00002732")</f>
        <v>W00002732</v>
      </c>
      <c r="D707" t="str">
        <f>("Web application development with PHP 4.0 / ")</f>
        <v xml:space="preserve">Web application development with PHP 4.0 / </v>
      </c>
      <c r="E707" t="str">
        <f>("Ratschiller, Tobias. ")</f>
        <v xml:space="preserve">Ratschiller, Tobias. </v>
      </c>
      <c r="F707" t="str">
        <f>("New Riders, ")</f>
        <v xml:space="preserve">New Riders, </v>
      </c>
      <c r="G707" t="str">
        <f>("1st ed. ")</f>
        <v xml:space="preserve">1st ed. </v>
      </c>
      <c r="H707" t="str">
        <f t="shared" si="276"/>
        <v>圖書 book</v>
      </c>
      <c r="I707" t="str">
        <f>("TK5105.888 R232 2000")</f>
        <v>TK5105.888 R232 2000</v>
      </c>
      <c r="J707" t="str">
        <f>("0735709971")</f>
        <v>0735709971</v>
      </c>
      <c r="K707" t="str">
        <f>("1120")</f>
        <v>1120</v>
      </c>
      <c r="L707" t="str">
        <f t="shared" si="284"/>
        <v>2001/10/10 00:00:00</v>
      </c>
      <c r="M707" t="str">
        <f t="shared" si="289"/>
        <v>2018/08/11 13:34:44</v>
      </c>
      <c r="N707" t="str">
        <f>("2000")</f>
        <v>2000</v>
      </c>
      <c r="O707" t="str">
        <f t="shared" si="292"/>
        <v>4F西文書庫 4F Western Language Books</v>
      </c>
      <c r="P707" t="s">
        <v>64</v>
      </c>
      <c r="W707" t="str">
        <f t="shared" si="288"/>
        <v>美國國會圖書分類法</v>
      </c>
      <c r="Y707" t="str">
        <f>("TK5105.888")</f>
        <v>TK5105.888</v>
      </c>
      <c r="Z707" t="str">
        <f t="shared" si="290"/>
        <v>2018/08/11 13:34:44</v>
      </c>
      <c r="AA707" t="str">
        <f t="shared" si="269"/>
        <v>catc</v>
      </c>
      <c r="AC707" t="str">
        <f>("R232")</f>
        <v>R232</v>
      </c>
      <c r="AE707" t="str">
        <f t="shared" si="291"/>
        <v>c.1</v>
      </c>
      <c r="AF707" t="str">
        <f t="shared" si="280"/>
        <v>1.可借圖書</v>
      </c>
      <c r="AG707" t="str">
        <f t="shared" si="293"/>
        <v>在架</v>
      </c>
      <c r="AI707" t="s">
        <v>65</v>
      </c>
      <c r="AK707" t="str">
        <f t="shared" si="270"/>
        <v>一般(Normal)</v>
      </c>
      <c r="AO707" t="s">
        <v>65</v>
      </c>
      <c r="AS707" t="str">
        <f>("2000. ")</f>
        <v xml:space="preserve">2000. </v>
      </c>
      <c r="AT707" t="str">
        <f t="shared" si="271"/>
        <v>catc</v>
      </c>
    </row>
    <row r="708" spans="1:46" x14ac:dyDescent="0.25">
      <c r="A708">
        <v>697</v>
      </c>
      <c r="B708" t="str">
        <f>("289543")</f>
        <v>289543</v>
      </c>
      <c r="C708" t="str">
        <f>("W00002733")</f>
        <v>W00002733</v>
      </c>
      <c r="D708" t="str">
        <f>("Crossing platforms : a Macintosh/Windows phrasebook / ")</f>
        <v xml:space="preserve">Crossing platforms : a Macintosh/Windows phrasebook / </v>
      </c>
      <c r="E708" t="str">
        <f>("Engst, Adam C. ")</f>
        <v xml:space="preserve">Engst, Adam C. </v>
      </c>
      <c r="F708" t="str">
        <f>("O'Reilly, ")</f>
        <v xml:space="preserve">O'Reilly, </v>
      </c>
      <c r="G708" t="str">
        <f>("1st ed. ")</f>
        <v xml:space="preserve">1st ed. </v>
      </c>
      <c r="H708" t="str">
        <f t="shared" si="276"/>
        <v>圖書 book</v>
      </c>
      <c r="I708" t="str">
        <f>("QA76.76.O63 E57 1999")</f>
        <v>QA76.76.O63 E57 1999</v>
      </c>
      <c r="J708" t="str">
        <f>("1565925394")</f>
        <v>1565925394</v>
      </c>
      <c r="K708" t="str">
        <f>("840")</f>
        <v>840</v>
      </c>
      <c r="L708" t="str">
        <f t="shared" si="284"/>
        <v>2001/10/10 00:00:00</v>
      </c>
      <c r="M708" t="str">
        <f t="shared" ref="M708:M718" si="294">("2018/08/11 13:34:45")</f>
        <v>2018/08/11 13:34:45</v>
      </c>
      <c r="N708" t="str">
        <f>("1999")</f>
        <v>1999</v>
      </c>
      <c r="O708" t="str">
        <f t="shared" si="292"/>
        <v>4F西文書庫 4F Western Language Books</v>
      </c>
      <c r="P708" t="s">
        <v>64</v>
      </c>
      <c r="W708" t="str">
        <f t="shared" si="288"/>
        <v>美國國會圖書分類法</v>
      </c>
      <c r="Y708" t="str">
        <f>("QA76.76.O63")</f>
        <v>QA76.76.O63</v>
      </c>
      <c r="Z708" t="str">
        <f t="shared" ref="Z708:Z718" si="295">("2018/08/11 13:34:45")</f>
        <v>2018/08/11 13:34:45</v>
      </c>
      <c r="AA708" t="str">
        <f t="shared" si="269"/>
        <v>catc</v>
      </c>
      <c r="AC708" t="str">
        <f>("E57")</f>
        <v>E57</v>
      </c>
      <c r="AE708" t="str">
        <f t="shared" si="291"/>
        <v>c.1</v>
      </c>
      <c r="AF708" t="str">
        <f t="shared" si="280"/>
        <v>1.可借圖書</v>
      </c>
      <c r="AG708" t="str">
        <f t="shared" si="293"/>
        <v>在架</v>
      </c>
      <c r="AI708" t="s">
        <v>65</v>
      </c>
      <c r="AK708" t="str">
        <f t="shared" si="270"/>
        <v>一般(Normal)</v>
      </c>
      <c r="AO708" t="s">
        <v>65</v>
      </c>
      <c r="AS708" t="str">
        <f>("1999. ")</f>
        <v xml:space="preserve">1999. </v>
      </c>
      <c r="AT708" t="str">
        <f t="shared" si="271"/>
        <v>catc</v>
      </c>
    </row>
    <row r="709" spans="1:46" x14ac:dyDescent="0.25">
      <c r="A709">
        <v>698</v>
      </c>
      <c r="B709" t="str">
        <f>("289544")</f>
        <v>289544</v>
      </c>
      <c r="C709" t="str">
        <f>("W00002734")</f>
        <v>W00002734</v>
      </c>
      <c r="D709" t="str">
        <f>("Volume, geometry, color : Regina Pizzinini &amp; Leon Luxemburg / ")</f>
        <v xml:space="preserve">Volume, geometry, color : Regina Pizzinini &amp; Leon Luxemburg / </v>
      </c>
      <c r="E709" t="str">
        <f>("Webb, Michael, 1937- ")</f>
        <v xml:space="preserve">Webb, Michael, 1937- </v>
      </c>
      <c r="F709" t="str">
        <f>("Images Pub. Group, ")</f>
        <v xml:space="preserve">Images Pub. Group, </v>
      </c>
      <c r="H709" t="str">
        <f t="shared" si="276"/>
        <v>圖書 book</v>
      </c>
      <c r="I709" t="str">
        <f>("NA1174.3.P59 W365 1997")</f>
        <v>NA1174.3.P59 W365 1997</v>
      </c>
      <c r="J709" t="str">
        <f>("1864700025")</f>
        <v>1864700025</v>
      </c>
      <c r="K709" t="str">
        <f>("632")</f>
        <v>632</v>
      </c>
      <c r="L709" t="str">
        <f t="shared" si="284"/>
        <v>2001/10/10 00:00:00</v>
      </c>
      <c r="M709" t="str">
        <f t="shared" si="294"/>
        <v>2018/08/11 13:34:45</v>
      </c>
      <c r="N709" t="str">
        <f>("1997")</f>
        <v>1997</v>
      </c>
      <c r="O709" t="str">
        <f t="shared" si="292"/>
        <v>4F西文書庫 4F Western Language Books</v>
      </c>
      <c r="P709" t="s">
        <v>64</v>
      </c>
      <c r="W709" t="str">
        <f t="shared" si="288"/>
        <v>美國國會圖書分類法</v>
      </c>
      <c r="Y709" t="str">
        <f>("NA1174.3.P59")</f>
        <v>NA1174.3.P59</v>
      </c>
      <c r="Z709" t="str">
        <f t="shared" si="295"/>
        <v>2018/08/11 13:34:45</v>
      </c>
      <c r="AA709" t="str">
        <f t="shared" si="269"/>
        <v>catc</v>
      </c>
      <c r="AC709" t="str">
        <f>("W365")</f>
        <v>W365</v>
      </c>
      <c r="AE709" t="str">
        <f t="shared" si="291"/>
        <v>c.1</v>
      </c>
      <c r="AF709" t="str">
        <f t="shared" si="280"/>
        <v>1.可借圖書</v>
      </c>
      <c r="AG709" t="str">
        <f t="shared" si="293"/>
        <v>在架</v>
      </c>
      <c r="AI709" t="s">
        <v>65</v>
      </c>
      <c r="AK709" t="str">
        <f t="shared" si="270"/>
        <v>一般(Normal)</v>
      </c>
      <c r="AO709" t="s">
        <v>65</v>
      </c>
      <c r="AS709" t="str">
        <f>("1998. ")</f>
        <v xml:space="preserve">1998. </v>
      </c>
      <c r="AT709" t="str">
        <f t="shared" si="271"/>
        <v>catc</v>
      </c>
    </row>
    <row r="710" spans="1:46" x14ac:dyDescent="0.25">
      <c r="A710">
        <v>699</v>
      </c>
      <c r="B710" t="str">
        <f>("289545")</f>
        <v>289545</v>
      </c>
      <c r="C710" t="str">
        <f>("W00002735")</f>
        <v>W00002735</v>
      </c>
      <c r="D710" t="str">
        <f>("Learning XML :creating self-describing data /")</f>
        <v>Learning XML :creating self-describing data /</v>
      </c>
      <c r="E710" t="str">
        <f>("Ray, Erik T.")</f>
        <v>Ray, Erik T.</v>
      </c>
      <c r="F710" t="str">
        <f>("O'Reilly,")</f>
        <v>O'Reilly,</v>
      </c>
      <c r="G710" t="str">
        <f>("1st ed.")</f>
        <v>1st ed.</v>
      </c>
      <c r="H710" t="str">
        <f t="shared" si="276"/>
        <v>圖書 book</v>
      </c>
      <c r="I710" t="str">
        <f>("QA76.76.H94 R263 2001")</f>
        <v>QA76.76.H94 R263 2001</v>
      </c>
      <c r="J710" t="str">
        <f>("0596000464")</f>
        <v>0596000464</v>
      </c>
      <c r="K710" t="str">
        <f>("984")</f>
        <v>984</v>
      </c>
      <c r="L710" t="str">
        <f t="shared" si="284"/>
        <v>2001/10/10 00:00:00</v>
      </c>
      <c r="M710" t="str">
        <f t="shared" si="294"/>
        <v>2018/08/11 13:34:45</v>
      </c>
      <c r="N710" t="str">
        <f>("2001")</f>
        <v>2001</v>
      </c>
      <c r="O710" t="str">
        <f t="shared" si="292"/>
        <v>4F西文書庫 4F Western Language Books</v>
      </c>
      <c r="P710" t="s">
        <v>64</v>
      </c>
      <c r="W710" t="str">
        <f t="shared" si="288"/>
        <v>美國國會圖書分類法</v>
      </c>
      <c r="Y710" t="str">
        <f>("QA76.76.H94")</f>
        <v>QA76.76.H94</v>
      </c>
      <c r="Z710" t="str">
        <f t="shared" si="295"/>
        <v>2018/08/11 13:34:45</v>
      </c>
      <c r="AA710" t="str">
        <f t="shared" si="269"/>
        <v>catc</v>
      </c>
      <c r="AC710" t="str">
        <f>("R263")</f>
        <v>R263</v>
      </c>
      <c r="AE710" t="str">
        <f t="shared" si="291"/>
        <v>c.1</v>
      </c>
      <c r="AF710" t="str">
        <f t="shared" si="280"/>
        <v>1.可借圖書</v>
      </c>
      <c r="AG710" t="str">
        <f t="shared" si="293"/>
        <v>在架</v>
      </c>
      <c r="AI710" t="s">
        <v>65</v>
      </c>
      <c r="AK710" t="str">
        <f t="shared" si="270"/>
        <v>一般(Normal)</v>
      </c>
      <c r="AO710" t="s">
        <v>65</v>
      </c>
      <c r="AS710" t="str">
        <f>("c2001")</f>
        <v>c2001</v>
      </c>
      <c r="AT710" t="str">
        <f t="shared" si="271"/>
        <v>catc</v>
      </c>
    </row>
    <row r="711" spans="1:46" x14ac:dyDescent="0.25">
      <c r="A711">
        <v>700</v>
      </c>
      <c r="B711" t="str">
        <f>("289546")</f>
        <v>289546</v>
      </c>
      <c r="C711" t="str">
        <f>("W00002736")</f>
        <v>W00002736</v>
      </c>
      <c r="D711" t="str">
        <f>("Cisco switched internetworks / ")</f>
        <v xml:space="preserve">Cisco switched internetworks / </v>
      </c>
      <c r="E711" t="str">
        <f>("Lewis, Chris ")</f>
        <v xml:space="preserve">Lewis, Chris </v>
      </c>
      <c r="F711" t="str">
        <f>("McGraw-Hill, ")</f>
        <v xml:space="preserve">McGraw-Hill, </v>
      </c>
      <c r="H711" t="str">
        <f t="shared" si="276"/>
        <v>圖書 book</v>
      </c>
      <c r="I711" t="str">
        <f>("TK5105.5 L673 1999")</f>
        <v>TK5105.5 L673 1999</v>
      </c>
      <c r="J711" t="str">
        <f>("0071346465")</f>
        <v>0071346465</v>
      </c>
      <c r="K711" t="str">
        <f>("1498")</f>
        <v>1498</v>
      </c>
      <c r="L711" t="str">
        <f t="shared" si="284"/>
        <v>2001/10/10 00:00:00</v>
      </c>
      <c r="M711" t="str">
        <f t="shared" si="294"/>
        <v>2018/08/11 13:34:45</v>
      </c>
      <c r="N711" t="str">
        <f>("1999")</f>
        <v>1999</v>
      </c>
      <c r="O711" t="str">
        <f t="shared" si="292"/>
        <v>4F西文書庫 4F Western Language Books</v>
      </c>
      <c r="P711" t="s">
        <v>64</v>
      </c>
      <c r="W711" t="str">
        <f t="shared" si="288"/>
        <v>美國國會圖書分類法</v>
      </c>
      <c r="Y711" t="str">
        <f>("TK5105.5")</f>
        <v>TK5105.5</v>
      </c>
      <c r="Z711" t="str">
        <f t="shared" si="295"/>
        <v>2018/08/11 13:34:45</v>
      </c>
      <c r="AA711" t="str">
        <f t="shared" si="269"/>
        <v>catc</v>
      </c>
      <c r="AC711" t="str">
        <f>("L673")</f>
        <v>L673</v>
      </c>
      <c r="AE711" t="str">
        <f t="shared" si="291"/>
        <v>c.1</v>
      </c>
      <c r="AF711" t="str">
        <f t="shared" si="280"/>
        <v>1.可借圖書</v>
      </c>
      <c r="AG711" t="str">
        <f t="shared" si="293"/>
        <v>在架</v>
      </c>
      <c r="AI711" t="s">
        <v>65</v>
      </c>
      <c r="AK711" t="str">
        <f t="shared" si="270"/>
        <v>一般(Normal)</v>
      </c>
      <c r="AO711" t="s">
        <v>65</v>
      </c>
      <c r="AS711" t="str">
        <f>("c1999. ")</f>
        <v xml:space="preserve">c1999. </v>
      </c>
      <c r="AT711" t="str">
        <f t="shared" si="271"/>
        <v>catc</v>
      </c>
    </row>
    <row r="712" spans="1:46" x14ac:dyDescent="0.25">
      <c r="A712">
        <v>701</v>
      </c>
      <c r="B712" t="str">
        <f>("289547")</f>
        <v>289547</v>
      </c>
      <c r="C712" t="str">
        <f>("W00002737")</f>
        <v>W00002737</v>
      </c>
      <c r="D712" t="str">
        <f>("Ethernet : the definitive guide / ")</f>
        <v xml:space="preserve">Ethernet : the definitive guide / </v>
      </c>
      <c r="E712" t="str">
        <f>("Spurgeon, Charles ")</f>
        <v xml:space="preserve">Spurgeon, Charles </v>
      </c>
      <c r="F712" t="str">
        <f>("O'Reilly, ")</f>
        <v xml:space="preserve">O'Reilly, </v>
      </c>
      <c r="H712" t="str">
        <f t="shared" si="276"/>
        <v>圖書 book</v>
      </c>
      <c r="I712" t="str">
        <f>("TK5105.8.E83 S762 2000")</f>
        <v>TK5105.8.E83 S762 2000</v>
      </c>
      <c r="J712" t="str">
        <f>("1565926609")</f>
        <v>1565926609</v>
      </c>
      <c r="K712" t="str">
        <f>("1264")</f>
        <v>1264</v>
      </c>
      <c r="L712" t="str">
        <f t="shared" si="284"/>
        <v>2001/10/10 00:00:00</v>
      </c>
      <c r="M712" t="str">
        <f t="shared" si="294"/>
        <v>2018/08/11 13:34:45</v>
      </c>
      <c r="N712" t="str">
        <f>("2000")</f>
        <v>2000</v>
      </c>
      <c r="O712" t="str">
        <f t="shared" si="292"/>
        <v>4F西文書庫 4F Western Language Books</v>
      </c>
      <c r="P712" t="s">
        <v>64</v>
      </c>
      <c r="W712" t="str">
        <f t="shared" si="288"/>
        <v>美國國會圖書分類法</v>
      </c>
      <c r="Y712" t="str">
        <f>("TK5105.8.E83")</f>
        <v>TK5105.8.E83</v>
      </c>
      <c r="Z712" t="str">
        <f t="shared" si="295"/>
        <v>2018/08/11 13:34:45</v>
      </c>
      <c r="AA712" t="str">
        <f t="shared" si="269"/>
        <v>catc</v>
      </c>
      <c r="AC712" t="str">
        <f>("S762")</f>
        <v>S762</v>
      </c>
      <c r="AE712" t="str">
        <f t="shared" si="291"/>
        <v>c.1</v>
      </c>
      <c r="AF712" t="str">
        <f t="shared" si="280"/>
        <v>1.可借圖書</v>
      </c>
      <c r="AG712" t="str">
        <f t="shared" si="293"/>
        <v>在架</v>
      </c>
      <c r="AI712" t="s">
        <v>65</v>
      </c>
      <c r="AK712" t="str">
        <f t="shared" si="270"/>
        <v>一般(Normal)</v>
      </c>
      <c r="AO712" t="s">
        <v>65</v>
      </c>
      <c r="AS712" t="str">
        <f>("2000. ")</f>
        <v xml:space="preserve">2000. </v>
      </c>
      <c r="AT712" t="str">
        <f t="shared" si="271"/>
        <v>catc</v>
      </c>
    </row>
    <row r="713" spans="1:46" x14ac:dyDescent="0.25">
      <c r="A713">
        <v>702</v>
      </c>
      <c r="B713" t="str">
        <f>("289537")</f>
        <v>289537</v>
      </c>
      <c r="C713" t="str">
        <f>("W00002738")</f>
        <v>W00002738</v>
      </c>
      <c r="D713" t="str">
        <f>("Sams teach yourself Java 2 in 24 hours / ")</f>
        <v xml:space="preserve">Sams teach yourself Java 2 in 24 hours / </v>
      </c>
      <c r="E713" t="str">
        <f>("Cadenhead, Rogers. ")</f>
        <v xml:space="preserve">Cadenhead, Rogers. </v>
      </c>
      <c r="F713" t="str">
        <f>("Sams, ")</f>
        <v xml:space="preserve">Sams, </v>
      </c>
      <c r="G713" t="str">
        <f>("2nd ed. ")</f>
        <v xml:space="preserve">2nd ed. </v>
      </c>
      <c r="H713" t="str">
        <f t="shared" si="276"/>
        <v>圖書 book</v>
      </c>
      <c r="I713" t="str">
        <f>("QA76.73.J38 C122 2001")</f>
        <v>QA76.73.J38 C122 2001</v>
      </c>
      <c r="J713" t="str">
        <f>("0672320363")</f>
        <v>0672320363</v>
      </c>
      <c r="K713" t="str">
        <f>("704")</f>
        <v>704</v>
      </c>
      <c r="L713" t="str">
        <f t="shared" si="284"/>
        <v>2001/10/10 00:00:00</v>
      </c>
      <c r="M713" t="str">
        <f t="shared" si="294"/>
        <v>2018/08/11 13:34:45</v>
      </c>
      <c r="N713" t="str">
        <f>("2001")</f>
        <v>2001</v>
      </c>
      <c r="O713" t="str">
        <f t="shared" si="292"/>
        <v>4F西文書庫 4F Western Language Books</v>
      </c>
      <c r="P713" t="s">
        <v>64</v>
      </c>
      <c r="W713" t="str">
        <f t="shared" si="288"/>
        <v>美國國會圖書分類法</v>
      </c>
      <c r="Y713" t="str">
        <f>("QA76.73.J38")</f>
        <v>QA76.73.J38</v>
      </c>
      <c r="Z713" t="str">
        <f t="shared" si="295"/>
        <v>2018/08/11 13:34:45</v>
      </c>
      <c r="AA713" t="str">
        <f t="shared" si="269"/>
        <v>catc</v>
      </c>
      <c r="AC713" t="str">
        <f>("C122")</f>
        <v>C122</v>
      </c>
      <c r="AE713" t="str">
        <f t="shared" si="291"/>
        <v>c.1</v>
      </c>
      <c r="AF713" t="str">
        <f t="shared" si="280"/>
        <v>1.可借圖書</v>
      </c>
      <c r="AG713" t="str">
        <f t="shared" si="293"/>
        <v>在架</v>
      </c>
      <c r="AI713" t="s">
        <v>65</v>
      </c>
      <c r="AK713" t="str">
        <f t="shared" si="270"/>
        <v>一般(Normal)</v>
      </c>
      <c r="AO713" t="s">
        <v>65</v>
      </c>
      <c r="AS713" t="str">
        <f>("c2001. ")</f>
        <v xml:space="preserve">c2001. </v>
      </c>
      <c r="AT713" t="str">
        <f t="shared" si="271"/>
        <v>catc</v>
      </c>
    </row>
    <row r="714" spans="1:46" x14ac:dyDescent="0.25">
      <c r="A714">
        <v>703</v>
      </c>
      <c r="B714" t="str">
        <f>("289538")</f>
        <v>289538</v>
      </c>
      <c r="C714" t="str">
        <f>("W00002739")</f>
        <v>W00002739</v>
      </c>
      <c r="D714" t="str">
        <f>("Linux Firewalls / ")</f>
        <v xml:space="preserve">Linux Firewalls / </v>
      </c>
      <c r="E714" t="str">
        <f>("Ziegler, Robert L. 1954- ")</f>
        <v xml:space="preserve">Ziegler, Robert L. 1954- </v>
      </c>
      <c r="F714" t="str">
        <f>("New Riders, ")</f>
        <v xml:space="preserve">New Riders, </v>
      </c>
      <c r="H714" t="str">
        <f t="shared" si="276"/>
        <v>圖書 book</v>
      </c>
      <c r="I714" t="str">
        <f>("QA76.9.A25 Z66 2000")</f>
        <v>QA76.9.A25 Z66 2000</v>
      </c>
      <c r="J714" t="str">
        <f>("0735709009")</f>
        <v>0735709009</v>
      </c>
      <c r="K714" t="str">
        <f>("1120")</f>
        <v>1120</v>
      </c>
      <c r="L714" t="str">
        <f t="shared" si="284"/>
        <v>2001/10/10 00:00:00</v>
      </c>
      <c r="M714" t="str">
        <f t="shared" si="294"/>
        <v>2018/08/11 13:34:45</v>
      </c>
      <c r="N714" t="str">
        <f>("2000")</f>
        <v>2000</v>
      </c>
      <c r="O714" t="str">
        <f t="shared" si="292"/>
        <v>4F西文書庫 4F Western Language Books</v>
      </c>
      <c r="P714" t="s">
        <v>64</v>
      </c>
      <c r="W714" t="str">
        <f t="shared" si="288"/>
        <v>美國國會圖書分類法</v>
      </c>
      <c r="Y714" t="str">
        <f>("QA76.9.A25")</f>
        <v>QA76.9.A25</v>
      </c>
      <c r="Z714" t="str">
        <f t="shared" si="295"/>
        <v>2018/08/11 13:34:45</v>
      </c>
      <c r="AA714" t="str">
        <f t="shared" si="269"/>
        <v>catc</v>
      </c>
      <c r="AC714" t="str">
        <f>("Z66")</f>
        <v>Z66</v>
      </c>
      <c r="AE714" t="str">
        <f t="shared" si="291"/>
        <v>c.1</v>
      </c>
      <c r="AF714" t="str">
        <f t="shared" si="280"/>
        <v>1.可借圖書</v>
      </c>
      <c r="AG714" t="str">
        <f t="shared" si="293"/>
        <v>在架</v>
      </c>
      <c r="AI714" t="s">
        <v>65</v>
      </c>
      <c r="AK714" t="str">
        <f t="shared" si="270"/>
        <v>一般(Normal)</v>
      </c>
      <c r="AO714" t="s">
        <v>65</v>
      </c>
      <c r="AS714" t="str">
        <f>("c2000. ")</f>
        <v xml:space="preserve">c2000. </v>
      </c>
      <c r="AT714" t="str">
        <f t="shared" si="271"/>
        <v>catc</v>
      </c>
    </row>
    <row r="715" spans="1:46" x14ac:dyDescent="0.25">
      <c r="A715">
        <v>704</v>
      </c>
      <c r="B715" t="str">
        <f>("289539")</f>
        <v>289539</v>
      </c>
      <c r="C715" t="str">
        <f>("W00002740")</f>
        <v>W00002740</v>
      </c>
      <c r="D715" t="str">
        <f>("Effective TCP/IP programming : 44 tips to improve your network programming / ")</f>
        <v xml:space="preserve">Effective TCP/IP programming : 44 tips to improve your network programming / </v>
      </c>
      <c r="E715" t="str">
        <f>("Snader, Jon C., 1944- ")</f>
        <v xml:space="preserve">Snader, Jon C., 1944- </v>
      </c>
      <c r="F715" t="str">
        <f>("Addison-Wesley, ")</f>
        <v xml:space="preserve">Addison-Wesley, </v>
      </c>
      <c r="H715" t="str">
        <f t="shared" si="276"/>
        <v>圖書 book</v>
      </c>
      <c r="I715" t="str">
        <f>("QA76.625 S669 2000")</f>
        <v>QA76.625 S669 2000</v>
      </c>
      <c r="J715" t="str">
        <f>("0201615894")</f>
        <v>0201615894</v>
      </c>
      <c r="K715" t="str">
        <f>("984")</f>
        <v>984</v>
      </c>
      <c r="L715" t="str">
        <f t="shared" si="284"/>
        <v>2001/10/10 00:00:00</v>
      </c>
      <c r="M715" t="str">
        <f t="shared" si="294"/>
        <v>2018/08/11 13:34:45</v>
      </c>
      <c r="N715" t="str">
        <f>("2000")</f>
        <v>2000</v>
      </c>
      <c r="O715" t="str">
        <f t="shared" si="292"/>
        <v>4F西文書庫 4F Western Language Books</v>
      </c>
      <c r="P715" t="s">
        <v>64</v>
      </c>
      <c r="W715" t="str">
        <f t="shared" si="288"/>
        <v>美國國會圖書分類法</v>
      </c>
      <c r="Y715" t="str">
        <f>("QA76.625")</f>
        <v>QA76.625</v>
      </c>
      <c r="Z715" t="str">
        <f t="shared" si="295"/>
        <v>2018/08/11 13:34:45</v>
      </c>
      <c r="AA715" t="str">
        <f t="shared" si="269"/>
        <v>catc</v>
      </c>
      <c r="AC715" t="str">
        <f>("S669")</f>
        <v>S669</v>
      </c>
      <c r="AE715" t="str">
        <f t="shared" si="291"/>
        <v>c.1</v>
      </c>
      <c r="AF715" t="str">
        <f t="shared" si="280"/>
        <v>1.可借圖書</v>
      </c>
      <c r="AG715" t="str">
        <f t="shared" si="293"/>
        <v>在架</v>
      </c>
      <c r="AI715" t="s">
        <v>65</v>
      </c>
      <c r="AK715" t="str">
        <f t="shared" si="270"/>
        <v>一般(Normal)</v>
      </c>
      <c r="AO715" t="s">
        <v>65</v>
      </c>
      <c r="AS715" t="str">
        <f>("c2000. ")</f>
        <v xml:space="preserve">c2000. </v>
      </c>
      <c r="AT715" t="str">
        <f t="shared" si="271"/>
        <v>catc</v>
      </c>
    </row>
    <row r="716" spans="1:46" x14ac:dyDescent="0.25">
      <c r="A716">
        <v>705</v>
      </c>
      <c r="B716" t="str">
        <f>("289540")</f>
        <v>289540</v>
      </c>
      <c r="C716" t="str">
        <f>("W00002741")</f>
        <v>W00002741</v>
      </c>
      <c r="D716" t="str">
        <f>("Kernel projects for Linux / ")</f>
        <v xml:space="preserve">Kernel projects for Linux / </v>
      </c>
      <c r="E716" t="str">
        <f>("Nutt, Gary J. ")</f>
        <v xml:space="preserve">Nutt, Gary J. </v>
      </c>
      <c r="F716" t="str">
        <f>("Addison Wesley Longman, ")</f>
        <v xml:space="preserve">Addison Wesley Longman, </v>
      </c>
      <c r="H716" t="str">
        <f t="shared" si="276"/>
        <v>圖書 book</v>
      </c>
      <c r="I716" t="str">
        <f>("QA76.76.O63 N977 2001")</f>
        <v>QA76.76.O63 N977 2001</v>
      </c>
      <c r="J716" t="str">
        <f>("0201612437")</f>
        <v>0201612437</v>
      </c>
      <c r="K716" t="str">
        <f>("960")</f>
        <v>960</v>
      </c>
      <c r="L716" t="str">
        <f t="shared" si="284"/>
        <v>2001/10/10 00:00:00</v>
      </c>
      <c r="M716" t="str">
        <f t="shared" si="294"/>
        <v>2018/08/11 13:34:45</v>
      </c>
      <c r="N716" t="str">
        <f>("2001")</f>
        <v>2001</v>
      </c>
      <c r="O716" t="str">
        <f t="shared" si="292"/>
        <v>4F西文書庫 4F Western Language Books</v>
      </c>
      <c r="P716" t="s">
        <v>64</v>
      </c>
      <c r="W716" t="str">
        <f t="shared" si="288"/>
        <v>美國國會圖書分類法</v>
      </c>
      <c r="Y716" t="str">
        <f>("QA76.76.O63")</f>
        <v>QA76.76.O63</v>
      </c>
      <c r="Z716" t="str">
        <f t="shared" si="295"/>
        <v>2018/08/11 13:34:45</v>
      </c>
      <c r="AA716" t="str">
        <f t="shared" ref="AA716:AA779" si="296">("catc")</f>
        <v>catc</v>
      </c>
      <c r="AC716" t="str">
        <f>("N977")</f>
        <v>N977</v>
      </c>
      <c r="AE716" t="str">
        <f t="shared" si="291"/>
        <v>c.1</v>
      </c>
      <c r="AF716" t="str">
        <f t="shared" si="280"/>
        <v>1.可借圖書</v>
      </c>
      <c r="AG716" t="str">
        <f t="shared" si="293"/>
        <v>在架</v>
      </c>
      <c r="AI716" t="s">
        <v>65</v>
      </c>
      <c r="AK716" t="str">
        <f t="shared" ref="AK716:AK779" si="297">("一般(Normal)")</f>
        <v>一般(Normal)</v>
      </c>
      <c r="AO716" t="s">
        <v>65</v>
      </c>
      <c r="AS716" t="str">
        <f>("2001. ")</f>
        <v xml:space="preserve">2001. </v>
      </c>
      <c r="AT716" t="str">
        <f t="shared" ref="AT716:AT779" si="298">("catc")</f>
        <v>catc</v>
      </c>
    </row>
    <row r="717" spans="1:46" x14ac:dyDescent="0.25">
      <c r="A717">
        <v>706</v>
      </c>
      <c r="B717" t="str">
        <f>("289561")</f>
        <v>289561</v>
      </c>
      <c r="C717" t="str">
        <f>("W00002742")</f>
        <v>W00002742</v>
      </c>
      <c r="D717" t="str">
        <f>("Linux internals / ")</f>
        <v xml:space="preserve">Linux internals / </v>
      </c>
      <c r="E717" t="str">
        <f>("Bar, Moshe. ")</f>
        <v xml:space="preserve">Bar, Moshe. </v>
      </c>
      <c r="F717" t="str">
        <f>("McGraw-Hill, ")</f>
        <v xml:space="preserve">McGraw-Hill, </v>
      </c>
      <c r="H717" t="str">
        <f t="shared" si="276"/>
        <v>圖書 book</v>
      </c>
      <c r="I717" t="str">
        <f>("QA76.76.O63 B223 2000")</f>
        <v>QA76.76.O63 B223 2000</v>
      </c>
      <c r="J717" t="str">
        <f>("0072125985")</f>
        <v>0072125985</v>
      </c>
      <c r="K717" t="str">
        <f>("1400")</f>
        <v>1400</v>
      </c>
      <c r="L717" t="str">
        <f t="shared" si="284"/>
        <v>2001/10/10 00:00:00</v>
      </c>
      <c r="M717" t="str">
        <f t="shared" si="294"/>
        <v>2018/08/11 13:34:45</v>
      </c>
      <c r="N717" t="str">
        <f>("2000")</f>
        <v>2000</v>
      </c>
      <c r="O717" t="str">
        <f t="shared" si="292"/>
        <v>4F西文書庫 4F Western Language Books</v>
      </c>
      <c r="P717" t="s">
        <v>64</v>
      </c>
      <c r="W717" t="str">
        <f t="shared" si="288"/>
        <v>美國國會圖書分類法</v>
      </c>
      <c r="Y717" t="str">
        <f>("QA76.76.O63")</f>
        <v>QA76.76.O63</v>
      </c>
      <c r="Z717" t="str">
        <f t="shared" si="295"/>
        <v>2018/08/11 13:34:45</v>
      </c>
      <c r="AA717" t="str">
        <f t="shared" si="296"/>
        <v>catc</v>
      </c>
      <c r="AC717" t="str">
        <f>("B223")</f>
        <v>B223</v>
      </c>
      <c r="AE717" t="str">
        <f t="shared" si="291"/>
        <v>c.1</v>
      </c>
      <c r="AF717" t="str">
        <f t="shared" si="280"/>
        <v>1.可借圖書</v>
      </c>
      <c r="AG717" t="str">
        <f t="shared" si="293"/>
        <v>在架</v>
      </c>
      <c r="AI717" t="s">
        <v>65</v>
      </c>
      <c r="AK717" t="str">
        <f t="shared" si="297"/>
        <v>一般(Normal)</v>
      </c>
      <c r="AO717" t="s">
        <v>65</v>
      </c>
      <c r="AS717" t="str">
        <f>("c2000. ")</f>
        <v xml:space="preserve">c2000. </v>
      </c>
      <c r="AT717" t="str">
        <f t="shared" si="298"/>
        <v>catc</v>
      </c>
    </row>
    <row r="718" spans="1:46" x14ac:dyDescent="0.25">
      <c r="A718">
        <v>707</v>
      </c>
      <c r="B718" t="str">
        <f>("289562")</f>
        <v>289562</v>
      </c>
      <c r="C718" t="str">
        <f>("W00002743")</f>
        <v>W00002743</v>
      </c>
      <c r="D718" t="str">
        <f>("Evil geniuses in a nutshell : a User friendly guide to world domination / ")</f>
        <v xml:space="preserve">Evil geniuses in a nutshell : a User friendly guide to world domination / </v>
      </c>
      <c r="E718" t="str">
        <f>("Illiad. ")</f>
        <v xml:space="preserve">Illiad. </v>
      </c>
      <c r="F718" t="str">
        <f>("O'Reilly &amp; Associates ")</f>
        <v xml:space="preserve">O'Reilly &amp; Associates </v>
      </c>
      <c r="G718" t="str">
        <f>("1st ed. ")</f>
        <v xml:space="preserve">1st ed. </v>
      </c>
      <c r="H718" t="str">
        <f t="shared" si="276"/>
        <v>圖書 book</v>
      </c>
      <c r="I718" t="str">
        <f>("PN6728.U84 I29 2000")</f>
        <v>PN6728.U84 I29 2000</v>
      </c>
      <c r="J718" t="str">
        <f>("156592861X")</f>
        <v>156592861X</v>
      </c>
      <c r="K718" t="str">
        <f>("368")</f>
        <v>368</v>
      </c>
      <c r="L718" t="str">
        <f t="shared" si="284"/>
        <v>2001/10/10 00:00:00</v>
      </c>
      <c r="M718" t="str">
        <f t="shared" si="294"/>
        <v>2018/08/11 13:34:45</v>
      </c>
      <c r="N718" t="str">
        <f>("2000")</f>
        <v>2000</v>
      </c>
      <c r="O718" t="str">
        <f t="shared" si="292"/>
        <v>4F西文書庫 4F Western Language Books</v>
      </c>
      <c r="P718" t="s">
        <v>64</v>
      </c>
      <c r="W718" t="str">
        <f t="shared" si="288"/>
        <v>美國國會圖書分類法</v>
      </c>
      <c r="Y718" t="str">
        <f>("PN6728.U84")</f>
        <v>PN6728.U84</v>
      </c>
      <c r="Z718" t="str">
        <f t="shared" si="295"/>
        <v>2018/08/11 13:34:45</v>
      </c>
      <c r="AA718" t="str">
        <f t="shared" si="296"/>
        <v>catc</v>
      </c>
      <c r="AC718" t="str">
        <f>("I29")</f>
        <v>I29</v>
      </c>
      <c r="AE718" t="str">
        <f t="shared" si="291"/>
        <v>c.1</v>
      </c>
      <c r="AF718" t="str">
        <f t="shared" si="280"/>
        <v>1.可借圖書</v>
      </c>
      <c r="AG718" t="str">
        <f t="shared" si="293"/>
        <v>在架</v>
      </c>
      <c r="AI718" t="s">
        <v>65</v>
      </c>
      <c r="AK718" t="str">
        <f t="shared" si="297"/>
        <v>一般(Normal)</v>
      </c>
      <c r="AO718" t="s">
        <v>65</v>
      </c>
      <c r="AS718" t="str">
        <f>("2000. ")</f>
        <v xml:space="preserve">2000. </v>
      </c>
      <c r="AT718" t="str">
        <f t="shared" si="298"/>
        <v>catc</v>
      </c>
    </row>
    <row r="719" spans="1:46" x14ac:dyDescent="0.25">
      <c r="A719">
        <v>708</v>
      </c>
      <c r="B719" t="str">
        <f>("289563")</f>
        <v>289563</v>
      </c>
      <c r="C719" t="str">
        <f>("W00002744")</f>
        <v>W00002744</v>
      </c>
      <c r="D719" t="str">
        <f>("Programming Internet email / ")</f>
        <v xml:space="preserve">Programming Internet email / </v>
      </c>
      <c r="E719" t="str">
        <f>("Wood, Dave. ")</f>
        <v xml:space="preserve">Wood, Dave. </v>
      </c>
      <c r="F719" t="str">
        <f>("O'Reilly, ")</f>
        <v xml:space="preserve">O'Reilly, </v>
      </c>
      <c r="G719" t="str">
        <f>("1st ed. ")</f>
        <v xml:space="preserve">1st ed. </v>
      </c>
      <c r="H719" t="str">
        <f t="shared" si="276"/>
        <v>圖書 book</v>
      </c>
      <c r="I719" t="str">
        <f>("TK5105.73 W874 1999")</f>
        <v>TK5105.73 W874 1999</v>
      </c>
      <c r="J719" t="str">
        <f>("1565924797")</f>
        <v>1565924797</v>
      </c>
      <c r="K719" t="str">
        <f>("984")</f>
        <v>984</v>
      </c>
      <c r="L719" t="str">
        <f t="shared" si="284"/>
        <v>2001/10/10 00:00:00</v>
      </c>
      <c r="M719" t="str">
        <f>("2018/08/11 13:34:46")</f>
        <v>2018/08/11 13:34:46</v>
      </c>
      <c r="N719" t="str">
        <f>("1999")</f>
        <v>1999</v>
      </c>
      <c r="O719" t="str">
        <f t="shared" si="292"/>
        <v>4F西文書庫 4F Western Language Books</v>
      </c>
      <c r="P719" t="s">
        <v>64</v>
      </c>
      <c r="W719" t="str">
        <f t="shared" si="288"/>
        <v>美國國會圖書分類法</v>
      </c>
      <c r="Y719" t="str">
        <f>("TK5105.73")</f>
        <v>TK5105.73</v>
      </c>
      <c r="Z719" t="str">
        <f>("2018/08/11 13:34:46")</f>
        <v>2018/08/11 13:34:46</v>
      </c>
      <c r="AA719" t="str">
        <f t="shared" si="296"/>
        <v>catc</v>
      </c>
      <c r="AC719" t="str">
        <f>("W874")</f>
        <v>W874</v>
      </c>
      <c r="AE719" t="str">
        <f t="shared" si="291"/>
        <v>c.1</v>
      </c>
      <c r="AF719" t="str">
        <f t="shared" si="280"/>
        <v>1.可借圖書</v>
      </c>
      <c r="AG719" t="str">
        <f t="shared" si="293"/>
        <v>在架</v>
      </c>
      <c r="AI719" t="s">
        <v>65</v>
      </c>
      <c r="AK719" t="str">
        <f t="shared" si="297"/>
        <v>一般(Normal)</v>
      </c>
      <c r="AO719" t="s">
        <v>65</v>
      </c>
      <c r="AS719" t="str">
        <f>("c1999. ")</f>
        <v xml:space="preserve">c1999. </v>
      </c>
      <c r="AT719" t="str">
        <f t="shared" si="298"/>
        <v>catc</v>
      </c>
    </row>
    <row r="720" spans="1:46" x14ac:dyDescent="0.25">
      <c r="A720">
        <v>709</v>
      </c>
      <c r="B720" t="str">
        <f>("289548")</f>
        <v>289548</v>
      </c>
      <c r="C720" t="str">
        <f>("W00002745")</f>
        <v>W00002745</v>
      </c>
      <c r="D720" t="str">
        <f>("Securing Windows NT/2000 servers for the internet / ")</f>
        <v xml:space="preserve">Securing Windows NT/2000 servers for the internet / </v>
      </c>
      <c r="E720" t="str">
        <f>("Norberg, Stefan. ")</f>
        <v xml:space="preserve">Norberg, Stefan. </v>
      </c>
      <c r="F720" t="str">
        <f>("O'Reilly, ")</f>
        <v xml:space="preserve">O'Reilly, </v>
      </c>
      <c r="H720" t="str">
        <f t="shared" si="276"/>
        <v>圖書 book</v>
      </c>
      <c r="I720" t="str">
        <f>("QA76.76.O63 N823 2001")</f>
        <v>QA76.76.O63 N823 2001</v>
      </c>
      <c r="J720" t="str">
        <f>("1565927680")</f>
        <v>1565927680</v>
      </c>
      <c r="K720" t="str">
        <f>("840")</f>
        <v>840</v>
      </c>
      <c r="L720" t="str">
        <f t="shared" si="284"/>
        <v>2001/10/10 00:00:00</v>
      </c>
      <c r="M720" t="str">
        <f>("2018/08/11 13:34:46")</f>
        <v>2018/08/11 13:34:46</v>
      </c>
      <c r="N720" t="str">
        <f>("2001")</f>
        <v>2001</v>
      </c>
      <c r="O720" t="str">
        <f t="shared" si="292"/>
        <v>4F西文書庫 4F Western Language Books</v>
      </c>
      <c r="P720" t="s">
        <v>64</v>
      </c>
      <c r="W720" t="str">
        <f t="shared" si="288"/>
        <v>美國國會圖書分類法</v>
      </c>
      <c r="Y720" t="str">
        <f>("QA76.76.O63")</f>
        <v>QA76.76.O63</v>
      </c>
      <c r="Z720" t="str">
        <f>("2018/08/11 13:34:46")</f>
        <v>2018/08/11 13:34:46</v>
      </c>
      <c r="AA720" t="str">
        <f t="shared" si="296"/>
        <v>catc</v>
      </c>
      <c r="AC720" t="str">
        <f>("N823")</f>
        <v>N823</v>
      </c>
      <c r="AE720" t="str">
        <f t="shared" si="291"/>
        <v>c.1</v>
      </c>
      <c r="AF720" t="str">
        <f t="shared" si="280"/>
        <v>1.可借圖書</v>
      </c>
      <c r="AG720" t="str">
        <f t="shared" si="293"/>
        <v>在架</v>
      </c>
      <c r="AI720" t="s">
        <v>65</v>
      </c>
      <c r="AK720" t="str">
        <f t="shared" si="297"/>
        <v>一般(Normal)</v>
      </c>
      <c r="AO720" t="s">
        <v>65</v>
      </c>
      <c r="AS720" t="str">
        <f>("c2001. ")</f>
        <v xml:space="preserve">c2001. </v>
      </c>
      <c r="AT720" t="str">
        <f t="shared" si="298"/>
        <v>catc</v>
      </c>
    </row>
    <row r="721" spans="1:46" x14ac:dyDescent="0.25">
      <c r="A721">
        <v>710</v>
      </c>
      <c r="B721" t="str">
        <f>("289549")</f>
        <v>289549</v>
      </c>
      <c r="C721" t="str">
        <f>("W00002746")</f>
        <v>W00002746</v>
      </c>
      <c r="D721" t="str">
        <f>("Practical firewalls / ")</f>
        <v xml:space="preserve">Practical firewalls / </v>
      </c>
      <c r="E721" t="str">
        <f>("Ogletree, Terry William. ")</f>
        <v xml:space="preserve">Ogletree, Terry William. </v>
      </c>
      <c r="F721" t="str">
        <f>("Que, ")</f>
        <v xml:space="preserve">Que, </v>
      </c>
      <c r="H721" t="str">
        <f t="shared" si="276"/>
        <v>圖書 book</v>
      </c>
      <c r="I721" t="str">
        <f>("TK5105.59 O35 2000")</f>
        <v>TK5105.59 O35 2000</v>
      </c>
      <c r="J721" t="str">
        <f>("0789724162")</f>
        <v>0789724162</v>
      </c>
      <c r="K721" t="str">
        <f>("984")</f>
        <v>984</v>
      </c>
      <c r="L721" t="str">
        <f t="shared" si="284"/>
        <v>2001/10/10 00:00:00</v>
      </c>
      <c r="M721" t="str">
        <f>("2018/08/11 13:34:46")</f>
        <v>2018/08/11 13:34:46</v>
      </c>
      <c r="N721" t="str">
        <f>("2000")</f>
        <v>2000</v>
      </c>
      <c r="O721" t="str">
        <f t="shared" si="292"/>
        <v>4F西文書庫 4F Western Language Books</v>
      </c>
      <c r="P721" t="s">
        <v>64</v>
      </c>
      <c r="W721" t="str">
        <f t="shared" si="288"/>
        <v>美國國會圖書分類法</v>
      </c>
      <c r="Y721" t="str">
        <f>("TK5105.59")</f>
        <v>TK5105.59</v>
      </c>
      <c r="Z721" t="str">
        <f>("2018/08/11 13:34:46")</f>
        <v>2018/08/11 13:34:46</v>
      </c>
      <c r="AA721" t="str">
        <f t="shared" si="296"/>
        <v>catc</v>
      </c>
      <c r="AC721" t="str">
        <f>("O35")</f>
        <v>O35</v>
      </c>
      <c r="AE721" t="str">
        <f t="shared" si="291"/>
        <v>c.1</v>
      </c>
      <c r="AF721" t="str">
        <f t="shared" si="280"/>
        <v>1.可借圖書</v>
      </c>
      <c r="AG721" t="str">
        <f t="shared" si="293"/>
        <v>在架</v>
      </c>
      <c r="AI721" t="s">
        <v>65</v>
      </c>
      <c r="AK721" t="str">
        <f t="shared" si="297"/>
        <v>一般(Normal)</v>
      </c>
      <c r="AO721" t="s">
        <v>65</v>
      </c>
      <c r="AS721" t="str">
        <f>("c2000. ")</f>
        <v xml:space="preserve">c2000. </v>
      </c>
      <c r="AT721" t="str">
        <f t="shared" si="298"/>
        <v>catc</v>
      </c>
    </row>
    <row r="722" spans="1:46" x14ac:dyDescent="0.25">
      <c r="A722">
        <v>711</v>
      </c>
      <c r="B722" t="str">
        <f>("290544")</f>
        <v>290544</v>
      </c>
      <c r="C722" t="str">
        <f>("W00002747")</f>
        <v>W00002747</v>
      </c>
      <c r="D722" t="str">
        <f>("Designing Active Server pages / ")</f>
        <v xml:space="preserve">Designing Active Server pages / </v>
      </c>
      <c r="E722" t="str">
        <f>("Mitchell, Scott. ")</f>
        <v xml:space="preserve">Mitchell, Scott. </v>
      </c>
      <c r="F722" t="str">
        <f>("O'Reilly, ")</f>
        <v xml:space="preserve">O'Reilly, </v>
      </c>
      <c r="G722" t="str">
        <f>("1st ed. ")</f>
        <v xml:space="preserve">1st ed. </v>
      </c>
      <c r="H722" t="str">
        <f t="shared" si="276"/>
        <v>圖書 book</v>
      </c>
      <c r="I722" t="str">
        <f>("TK5105.8885.A26 M681 2000")</f>
        <v>TK5105.8885.A26 M681 2000</v>
      </c>
      <c r="J722" t="str">
        <f>("0596000448")</f>
        <v>0596000448</v>
      </c>
      <c r="K722" t="str">
        <f>("840")</f>
        <v>840</v>
      </c>
      <c r="L722" t="str">
        <f>("2002/02/01 00:00:00")</f>
        <v>2002/02/01 00:00:00</v>
      </c>
      <c r="M722" t="str">
        <f>("2018/08/11 13:36:35")</f>
        <v>2018/08/11 13:36:35</v>
      </c>
      <c r="N722" t="str">
        <f>("2000")</f>
        <v>2000</v>
      </c>
      <c r="O722" t="str">
        <f t="shared" si="292"/>
        <v>4F西文書庫 4F Western Language Books</v>
      </c>
      <c r="P722" t="s">
        <v>64</v>
      </c>
      <c r="W722" t="str">
        <f t="shared" si="288"/>
        <v>美國國會圖書分類法</v>
      </c>
      <c r="Y722" t="str">
        <f>("TK5105.8885.A26")</f>
        <v>TK5105.8885.A26</v>
      </c>
      <c r="Z722" t="str">
        <f>("2018/08/11 13:36:35")</f>
        <v>2018/08/11 13:36:35</v>
      </c>
      <c r="AA722" t="str">
        <f t="shared" si="296"/>
        <v>catc</v>
      </c>
      <c r="AC722" t="str">
        <f>("M681")</f>
        <v>M681</v>
      </c>
      <c r="AE722" t="str">
        <f t="shared" si="291"/>
        <v>c.1</v>
      </c>
      <c r="AF722" t="str">
        <f t="shared" si="280"/>
        <v>1.可借圖書</v>
      </c>
      <c r="AG722" t="str">
        <f t="shared" si="293"/>
        <v>在架</v>
      </c>
      <c r="AI722" t="s">
        <v>65</v>
      </c>
      <c r="AK722" t="str">
        <f t="shared" si="297"/>
        <v>一般(Normal)</v>
      </c>
      <c r="AO722" t="s">
        <v>65</v>
      </c>
      <c r="AS722" t="str">
        <f>("c2000. ")</f>
        <v xml:space="preserve">c2000. </v>
      </c>
      <c r="AT722" t="str">
        <f t="shared" si="298"/>
        <v>catc</v>
      </c>
    </row>
    <row r="723" spans="1:46" x14ac:dyDescent="0.25">
      <c r="A723">
        <v>712</v>
      </c>
      <c r="B723" t="str">
        <f>("289550")</f>
        <v>289550</v>
      </c>
      <c r="C723" t="str">
        <f>("W00002748")</f>
        <v>W00002748</v>
      </c>
      <c r="D723" t="str">
        <f>("Practical Cisco routers / ")</f>
        <v xml:space="preserve">Practical Cisco routers / </v>
      </c>
      <c r="E723" t="str">
        <f>("Habraken, Joseph W., 1954- ")</f>
        <v xml:space="preserve">Habraken, Joseph W., 1954- </v>
      </c>
      <c r="F723" t="str">
        <f>("Que, ")</f>
        <v xml:space="preserve">Que, </v>
      </c>
      <c r="H723" t="str">
        <f t="shared" si="276"/>
        <v>圖書 book</v>
      </c>
      <c r="I723" t="str">
        <f>("TK5105.543 H113 1999")</f>
        <v>TK5105.543 H113 1999</v>
      </c>
      <c r="J723" t="str">
        <f>("0789721031")</f>
        <v>0789721031</v>
      </c>
      <c r="K723" t="str">
        <f>("840")</f>
        <v>840</v>
      </c>
      <c r="L723" t="str">
        <f t="shared" ref="L723:L786" si="299">("2001/10/10 00:00:00")</f>
        <v>2001/10/10 00:00:00</v>
      </c>
      <c r="M723" t="str">
        <f t="shared" ref="M723:M729" si="300">("2018/08/11 13:34:46")</f>
        <v>2018/08/11 13:34:46</v>
      </c>
      <c r="N723" t="str">
        <f>("1999")</f>
        <v>1999</v>
      </c>
      <c r="O723" t="str">
        <f t="shared" si="292"/>
        <v>4F西文書庫 4F Western Language Books</v>
      </c>
      <c r="P723" t="s">
        <v>64</v>
      </c>
      <c r="W723" t="str">
        <f t="shared" si="288"/>
        <v>美國國會圖書分類法</v>
      </c>
      <c r="Y723" t="str">
        <f>("TK5105.543")</f>
        <v>TK5105.543</v>
      </c>
      <c r="Z723" t="str">
        <f t="shared" ref="Z723:Z730" si="301">("2018/08/11 13:34:46")</f>
        <v>2018/08/11 13:34:46</v>
      </c>
      <c r="AA723" t="str">
        <f t="shared" si="296"/>
        <v>catc</v>
      </c>
      <c r="AC723" t="str">
        <f>("H113")</f>
        <v>H113</v>
      </c>
      <c r="AE723" t="str">
        <f t="shared" si="291"/>
        <v>c.1</v>
      </c>
      <c r="AF723" t="str">
        <f t="shared" si="280"/>
        <v>1.可借圖書</v>
      </c>
      <c r="AG723" t="str">
        <f t="shared" si="293"/>
        <v>在架</v>
      </c>
      <c r="AI723" t="s">
        <v>65</v>
      </c>
      <c r="AK723" t="str">
        <f t="shared" si="297"/>
        <v>一般(Normal)</v>
      </c>
      <c r="AO723" t="s">
        <v>65</v>
      </c>
      <c r="AS723" t="str">
        <f>("c1999. ")</f>
        <v xml:space="preserve">c1999. </v>
      </c>
      <c r="AT723" t="str">
        <f t="shared" si="298"/>
        <v>catc</v>
      </c>
    </row>
    <row r="724" spans="1:46" x14ac:dyDescent="0.25">
      <c r="A724">
        <v>713</v>
      </c>
      <c r="B724" t="str">
        <f>("289551")</f>
        <v>289551</v>
      </c>
      <c r="C724" t="str">
        <f>("W00002749")</f>
        <v>W00002749</v>
      </c>
      <c r="D724" t="str">
        <f>("Customer service over the phone / ")</f>
        <v xml:space="preserve">Customer service over the phone / </v>
      </c>
      <c r="E724" t="str">
        <f>("Coscia ,Stephen")</f>
        <v>Coscia ,Stephen</v>
      </c>
      <c r="F724" t="str">
        <f>("Telecom books, ")</f>
        <v xml:space="preserve">Telecom books, </v>
      </c>
      <c r="G724" t="str">
        <f>("5th ed.")</f>
        <v>5th ed.</v>
      </c>
      <c r="H724" t="str">
        <f t="shared" si="276"/>
        <v>圖書 book</v>
      </c>
      <c r="I724" t="str">
        <f>("G3824.P5 C834 1999")</f>
        <v>G3824.P5 C834 1999</v>
      </c>
      <c r="J724" t="str">
        <f>("1578200466")</f>
        <v>1578200466</v>
      </c>
      <c r="K724" t="str">
        <f>("448")</f>
        <v>448</v>
      </c>
      <c r="L724" t="str">
        <f t="shared" si="299"/>
        <v>2001/10/10 00:00:00</v>
      </c>
      <c r="M724" t="str">
        <f t="shared" si="300"/>
        <v>2018/08/11 13:34:46</v>
      </c>
      <c r="N724" t="str">
        <f>("1999")</f>
        <v>1999</v>
      </c>
      <c r="O724" t="str">
        <f t="shared" si="292"/>
        <v>4F西文書庫 4F Western Language Books</v>
      </c>
      <c r="P724" t="s">
        <v>64</v>
      </c>
      <c r="S724" t="str">
        <f>("143p.: ")</f>
        <v xml:space="preserve">143p.: </v>
      </c>
      <c r="T724" t="str">
        <f>("ill. ; ")</f>
        <v xml:space="preserve">ill. ; </v>
      </c>
      <c r="U724" t="str">
        <f>("22cm.")</f>
        <v>22cm.</v>
      </c>
      <c r="W724" t="str">
        <f t="shared" si="288"/>
        <v>美國國會圖書分類法</v>
      </c>
      <c r="Y724" t="str">
        <f>("G3824.P5")</f>
        <v>G3824.P5</v>
      </c>
      <c r="Z724" t="str">
        <f t="shared" si="301"/>
        <v>2018/08/11 13:34:46</v>
      </c>
      <c r="AA724" t="str">
        <f t="shared" si="296"/>
        <v>catc</v>
      </c>
      <c r="AC724" t="str">
        <f>("C834")</f>
        <v>C834</v>
      </c>
      <c r="AE724" t="str">
        <f t="shared" si="291"/>
        <v>c.1</v>
      </c>
      <c r="AF724" t="str">
        <f t="shared" si="280"/>
        <v>1.可借圖書</v>
      </c>
      <c r="AG724" t="str">
        <f t="shared" si="293"/>
        <v>在架</v>
      </c>
      <c r="AI724" t="s">
        <v>65</v>
      </c>
      <c r="AK724" t="str">
        <f t="shared" si="297"/>
        <v>一般(Normal)</v>
      </c>
      <c r="AO724" t="s">
        <v>65</v>
      </c>
      <c r="AS724" t="str">
        <f>("1999.")</f>
        <v>1999.</v>
      </c>
      <c r="AT724" t="str">
        <f t="shared" si="298"/>
        <v>catc</v>
      </c>
    </row>
    <row r="725" spans="1:46" x14ac:dyDescent="0.25">
      <c r="A725">
        <v>714</v>
      </c>
      <c r="B725" t="str">
        <f>("289552")</f>
        <v>289552</v>
      </c>
      <c r="C725" t="str">
        <f>("W00002750")</f>
        <v>W00002750</v>
      </c>
      <c r="D725" t="str">
        <f>("Linux DNS server administration / ")</f>
        <v xml:space="preserve">Linux DNS server administration / </v>
      </c>
      <c r="E725" t="str">
        <f>("Hunt, Craig. ")</f>
        <v xml:space="preserve">Hunt, Craig. </v>
      </c>
      <c r="F725" t="str">
        <f>("Sybex, ")</f>
        <v xml:space="preserve">Sybex, </v>
      </c>
      <c r="H725" t="str">
        <f t="shared" ref="H725:H788" si="302">("圖書 book")</f>
        <v>圖書 book</v>
      </c>
      <c r="I725" t="str">
        <f>("TK5105.595 H939 2000")</f>
        <v>TK5105.595 H939 2000</v>
      </c>
      <c r="J725" t="str">
        <f>("0782127363")</f>
        <v>0782127363</v>
      </c>
      <c r="K725" t="str">
        <f>("1120")</f>
        <v>1120</v>
      </c>
      <c r="L725" t="str">
        <f t="shared" si="299"/>
        <v>2001/10/10 00:00:00</v>
      </c>
      <c r="M725" t="str">
        <f t="shared" si="300"/>
        <v>2018/08/11 13:34:46</v>
      </c>
      <c r="N725" t="str">
        <f>("2000")</f>
        <v>2000</v>
      </c>
      <c r="O725" t="str">
        <f t="shared" si="292"/>
        <v>4F西文書庫 4F Western Language Books</v>
      </c>
      <c r="P725" t="s">
        <v>64</v>
      </c>
      <c r="W725" t="str">
        <f t="shared" si="288"/>
        <v>美國國會圖書分類法</v>
      </c>
      <c r="Y725" t="str">
        <f>("TK5105.595")</f>
        <v>TK5105.595</v>
      </c>
      <c r="Z725" t="str">
        <f t="shared" si="301"/>
        <v>2018/08/11 13:34:46</v>
      </c>
      <c r="AA725" t="str">
        <f t="shared" si="296"/>
        <v>catc</v>
      </c>
      <c r="AC725" t="str">
        <f>("H939")</f>
        <v>H939</v>
      </c>
      <c r="AE725" t="str">
        <f t="shared" si="291"/>
        <v>c.1</v>
      </c>
      <c r="AF725" t="str">
        <f t="shared" si="280"/>
        <v>1.可借圖書</v>
      </c>
      <c r="AG725" t="str">
        <f t="shared" si="293"/>
        <v>在架</v>
      </c>
      <c r="AI725" t="s">
        <v>65</v>
      </c>
      <c r="AK725" t="str">
        <f t="shared" si="297"/>
        <v>一般(Normal)</v>
      </c>
      <c r="AO725" t="s">
        <v>65</v>
      </c>
      <c r="AS725" t="str">
        <f>("c2000. ")</f>
        <v xml:space="preserve">c2000. </v>
      </c>
      <c r="AT725" t="str">
        <f t="shared" si="298"/>
        <v>catc</v>
      </c>
    </row>
    <row r="726" spans="1:46" x14ac:dyDescent="0.25">
      <c r="A726">
        <v>715</v>
      </c>
      <c r="B726" t="str">
        <f>("289564")</f>
        <v>289564</v>
      </c>
      <c r="C726" t="str">
        <f>("W00002751")</f>
        <v>W00002751</v>
      </c>
      <c r="D726" t="str">
        <f>("Sams teach yourself UNIX system administration in 21 days / ")</f>
        <v xml:space="preserve">Sams teach yourself UNIX system administration in 21 days / </v>
      </c>
      <c r="E726" t="str">
        <f>("Ray, Joan. ")</f>
        <v xml:space="preserve">Ray, Joan. </v>
      </c>
      <c r="F726" t="str">
        <f>("SAMS, ")</f>
        <v xml:space="preserve">SAMS, </v>
      </c>
      <c r="H726" t="str">
        <f t="shared" si="302"/>
        <v>圖書 book</v>
      </c>
      <c r="I726" t="str">
        <f>("QA76.76.O63 R263 1999")</f>
        <v>QA76.76.O63 R263 1999</v>
      </c>
      <c r="J726" t="str">
        <f>("0672316609")</f>
        <v>0672316609</v>
      </c>
      <c r="K726" t="str">
        <f>("840")</f>
        <v>840</v>
      </c>
      <c r="L726" t="str">
        <f t="shared" si="299"/>
        <v>2001/10/10 00:00:00</v>
      </c>
      <c r="M726" t="str">
        <f t="shared" si="300"/>
        <v>2018/08/11 13:34:46</v>
      </c>
      <c r="N726" t="str">
        <f>("1999")</f>
        <v>1999</v>
      </c>
      <c r="O726" t="str">
        <f t="shared" si="292"/>
        <v>4F西文書庫 4F Western Language Books</v>
      </c>
      <c r="P726" t="s">
        <v>64</v>
      </c>
      <c r="W726" t="str">
        <f t="shared" si="288"/>
        <v>美國國會圖書分類法</v>
      </c>
      <c r="Y726" t="str">
        <f>("QA76.76.O63")</f>
        <v>QA76.76.O63</v>
      </c>
      <c r="Z726" t="str">
        <f t="shared" si="301"/>
        <v>2018/08/11 13:34:46</v>
      </c>
      <c r="AA726" t="str">
        <f t="shared" si="296"/>
        <v>catc</v>
      </c>
      <c r="AC726" t="str">
        <f>("R263")</f>
        <v>R263</v>
      </c>
      <c r="AE726" t="str">
        <f t="shared" si="291"/>
        <v>c.1</v>
      </c>
      <c r="AF726" t="str">
        <f t="shared" si="280"/>
        <v>1.可借圖書</v>
      </c>
      <c r="AG726" t="str">
        <f t="shared" si="293"/>
        <v>在架</v>
      </c>
      <c r="AI726" t="s">
        <v>65</v>
      </c>
      <c r="AK726" t="str">
        <f t="shared" si="297"/>
        <v>一般(Normal)</v>
      </c>
      <c r="AO726" t="s">
        <v>65</v>
      </c>
      <c r="AS726" t="str">
        <f>("c1999. ")</f>
        <v xml:space="preserve">c1999. </v>
      </c>
      <c r="AT726" t="str">
        <f t="shared" si="298"/>
        <v>catc</v>
      </c>
    </row>
    <row r="727" spans="1:46" x14ac:dyDescent="0.25">
      <c r="A727">
        <v>716</v>
      </c>
      <c r="B727" t="str">
        <f>("289565")</f>
        <v>289565</v>
      </c>
      <c r="C727" t="str">
        <f>("W00002752")</f>
        <v>W00002752</v>
      </c>
      <c r="D727" t="str">
        <f>("COM programming by example using MFC, ActiveX, ATL, ADO, and COM+")</f>
        <v>COM programming by example using MFC, ActiveX, ATL, ADO, and COM+</v>
      </c>
      <c r="E727" t="str">
        <f>("Swanke, John E ")</f>
        <v xml:space="preserve">Swanke, John E </v>
      </c>
      <c r="F727" t="str">
        <f>("R &amp; D Books :;Distributed to the book trade in the U.S. and Canada by Publishers Group West ;")</f>
        <v>R &amp; D Books :;Distributed to the book trade in the U.S. and Canada by Publishers Group West ;</v>
      </c>
      <c r="H727" t="str">
        <f t="shared" si="302"/>
        <v>圖書 book</v>
      </c>
      <c r="I727" t="str">
        <f>("QA76.9.C66 S972 2000")</f>
        <v>QA76.9.C66 S972 2000</v>
      </c>
      <c r="J727" t="str">
        <f>("1929629036")</f>
        <v>1929629036</v>
      </c>
      <c r="K727" t="str">
        <f>("1264")</f>
        <v>1264</v>
      </c>
      <c r="L727" t="str">
        <f t="shared" si="299"/>
        <v>2001/10/10 00:00:00</v>
      </c>
      <c r="M727" t="str">
        <f t="shared" si="300"/>
        <v>2018/08/11 13:34:46</v>
      </c>
      <c r="N727" t="str">
        <f>("2000")</f>
        <v>2000</v>
      </c>
      <c r="O727" t="str">
        <f t="shared" si="292"/>
        <v>4F西文書庫 4F Western Language Books</v>
      </c>
      <c r="P727" t="s">
        <v>64</v>
      </c>
      <c r="W727" t="str">
        <f t="shared" si="288"/>
        <v>美國國會圖書分類法</v>
      </c>
      <c r="Y727" t="str">
        <f>("QA76.9.C66")</f>
        <v>QA76.9.C66</v>
      </c>
      <c r="Z727" t="str">
        <f t="shared" si="301"/>
        <v>2018/08/11 13:34:46</v>
      </c>
      <c r="AA727" t="str">
        <f t="shared" si="296"/>
        <v>catc</v>
      </c>
      <c r="AC727" t="str">
        <f>("S972")</f>
        <v>S972</v>
      </c>
      <c r="AE727" t="str">
        <f t="shared" si="291"/>
        <v>c.1</v>
      </c>
      <c r="AF727" t="str">
        <f t="shared" si="280"/>
        <v>1.可借圖書</v>
      </c>
      <c r="AG727" t="str">
        <f t="shared" si="293"/>
        <v>在架</v>
      </c>
      <c r="AI727" t="s">
        <v>65</v>
      </c>
      <c r="AK727" t="str">
        <f t="shared" si="297"/>
        <v>一般(Normal)</v>
      </c>
      <c r="AO727" t="s">
        <v>65</v>
      </c>
      <c r="AS727" t="str">
        <f>("c2000 ")</f>
        <v xml:space="preserve">c2000 </v>
      </c>
      <c r="AT727" t="str">
        <f t="shared" si="298"/>
        <v>catc</v>
      </c>
    </row>
    <row r="728" spans="1:46" x14ac:dyDescent="0.25">
      <c r="A728">
        <v>717</v>
      </c>
      <c r="B728" t="str">
        <f>("289566")</f>
        <v>289566</v>
      </c>
      <c r="C728" t="str">
        <f>("W00002753")</f>
        <v>W00002753</v>
      </c>
      <c r="D728" t="str">
        <f>("Windows 2000 terminal services / ")</f>
        <v xml:space="preserve">Windows 2000 terminal services / </v>
      </c>
      <c r="E728" t="str">
        <f>("Seltzer, Larry. ")</f>
        <v xml:space="preserve">Seltzer, Larry. </v>
      </c>
      <c r="F728" t="str">
        <f>("Osborne/McGraw-Hill, ")</f>
        <v xml:space="preserve">Osborne/McGraw-Hill, </v>
      </c>
      <c r="H728" t="str">
        <f t="shared" si="302"/>
        <v>圖書 book</v>
      </c>
      <c r="I728" t="str">
        <f>("QA76.76.O63 S464 2001")</f>
        <v>QA76.76.O63 S464 2001</v>
      </c>
      <c r="J728" t="str">
        <f>("0072129913")</f>
        <v>0072129913</v>
      </c>
      <c r="K728" t="str">
        <f>("1120")</f>
        <v>1120</v>
      </c>
      <c r="L728" t="str">
        <f t="shared" si="299"/>
        <v>2001/10/10 00:00:00</v>
      </c>
      <c r="M728" t="str">
        <f t="shared" si="300"/>
        <v>2018/08/11 13:34:46</v>
      </c>
      <c r="N728" t="str">
        <f>("2001")</f>
        <v>2001</v>
      </c>
      <c r="O728" t="str">
        <f t="shared" si="292"/>
        <v>4F西文書庫 4F Western Language Books</v>
      </c>
      <c r="P728" t="s">
        <v>64</v>
      </c>
      <c r="W728" t="str">
        <f t="shared" si="288"/>
        <v>美國國會圖書分類法</v>
      </c>
      <c r="Y728" t="str">
        <f>("QA76.76.O63")</f>
        <v>QA76.76.O63</v>
      </c>
      <c r="Z728" t="str">
        <f t="shared" si="301"/>
        <v>2018/08/11 13:34:46</v>
      </c>
      <c r="AA728" t="str">
        <f t="shared" si="296"/>
        <v>catc</v>
      </c>
      <c r="AC728" t="str">
        <f>("S464")</f>
        <v>S464</v>
      </c>
      <c r="AE728" t="str">
        <f t="shared" si="291"/>
        <v>c.1</v>
      </c>
      <c r="AF728" t="str">
        <f t="shared" si="280"/>
        <v>1.可借圖書</v>
      </c>
      <c r="AG728" t="str">
        <f t="shared" si="293"/>
        <v>在架</v>
      </c>
      <c r="AI728" t="s">
        <v>65</v>
      </c>
      <c r="AK728" t="str">
        <f t="shared" si="297"/>
        <v>一般(Normal)</v>
      </c>
      <c r="AO728" t="s">
        <v>65</v>
      </c>
      <c r="AS728" t="str">
        <f>("c2001. ")</f>
        <v xml:space="preserve">c2001. </v>
      </c>
      <c r="AT728" t="str">
        <f t="shared" si="298"/>
        <v>catc</v>
      </c>
    </row>
    <row r="729" spans="1:46" x14ac:dyDescent="0.25">
      <c r="A729">
        <v>718</v>
      </c>
      <c r="B729" t="str">
        <f>("289567")</f>
        <v>289567</v>
      </c>
      <c r="C729" t="str">
        <f>("W00002754")</f>
        <v>W00002754</v>
      </c>
      <c r="D729" t="str">
        <f>("Admin911: windows 2000 registry/ ")</f>
        <v xml:space="preserve">Admin911: windows 2000 registry/ </v>
      </c>
      <c r="E729" t="str">
        <f>("Ivens, Kathy")</f>
        <v>Ivens, Kathy</v>
      </c>
      <c r="F729" t="str">
        <f>("McGraw-Hill, ")</f>
        <v xml:space="preserve">McGraw-Hill, </v>
      </c>
      <c r="G729" t="str">
        <f>("1st ed.")</f>
        <v>1st ed.</v>
      </c>
      <c r="H729" t="str">
        <f t="shared" si="302"/>
        <v>圖書 book</v>
      </c>
      <c r="I729" t="str">
        <f>("QA76.76.O63 I94 2001")</f>
        <v>QA76.76.O63 I94 2001</v>
      </c>
      <c r="J729" t="str">
        <f>("0072129468")</f>
        <v>0072129468</v>
      </c>
      <c r="K729" t="str">
        <f>("1120")</f>
        <v>1120</v>
      </c>
      <c r="L729" t="str">
        <f t="shared" si="299"/>
        <v>2001/10/10 00:00:00</v>
      </c>
      <c r="M729" t="str">
        <f t="shared" si="300"/>
        <v>2018/08/11 13:34:46</v>
      </c>
      <c r="N729" t="str">
        <f>("2001")</f>
        <v>2001</v>
      </c>
      <c r="O729" t="str">
        <f t="shared" si="292"/>
        <v>4F西文書庫 4F Western Language Books</v>
      </c>
      <c r="P729" t="s">
        <v>64</v>
      </c>
      <c r="W729" t="str">
        <f t="shared" si="288"/>
        <v>美國國會圖書分類法</v>
      </c>
      <c r="Y729" t="str">
        <f>("QA76.76.O63")</f>
        <v>QA76.76.O63</v>
      </c>
      <c r="Z729" t="str">
        <f t="shared" si="301"/>
        <v>2018/08/11 13:34:46</v>
      </c>
      <c r="AA729" t="str">
        <f t="shared" si="296"/>
        <v>catc</v>
      </c>
      <c r="AC729" t="str">
        <f>("I94")</f>
        <v>I94</v>
      </c>
      <c r="AE729" t="str">
        <f t="shared" si="291"/>
        <v>c.1</v>
      </c>
      <c r="AF729" t="str">
        <f t="shared" si="280"/>
        <v>1.可借圖書</v>
      </c>
      <c r="AG729" t="str">
        <f t="shared" si="293"/>
        <v>在架</v>
      </c>
      <c r="AI729" t="s">
        <v>65</v>
      </c>
      <c r="AK729" t="str">
        <f t="shared" si="297"/>
        <v>一般(Normal)</v>
      </c>
      <c r="AO729" t="s">
        <v>65</v>
      </c>
      <c r="AS729" t="str">
        <f>("c2001.")</f>
        <v>c2001.</v>
      </c>
      <c r="AT729" t="str">
        <f t="shared" si="298"/>
        <v>catc</v>
      </c>
    </row>
    <row r="730" spans="1:46" x14ac:dyDescent="0.25">
      <c r="A730">
        <v>719</v>
      </c>
      <c r="B730" t="str">
        <f>("289568")</f>
        <v>289568</v>
      </c>
      <c r="C730" t="str">
        <f>("W00002755")</f>
        <v>W00002755</v>
      </c>
      <c r="D730" t="str">
        <f>("Windows 2000 group policy / ")</f>
        <v xml:space="preserve">Windows 2000 group policy / </v>
      </c>
      <c r="E730" t="str">
        <f>("Jennings, Roger. ")</f>
        <v xml:space="preserve">Jennings, Roger. </v>
      </c>
      <c r="F730" t="str">
        <f>("Osborne/McGraw-Hill, ")</f>
        <v xml:space="preserve">Osborne/McGraw-Hill, </v>
      </c>
      <c r="H730" t="str">
        <f t="shared" si="302"/>
        <v>圖書 book</v>
      </c>
      <c r="I730" t="str">
        <f>("QA76.76.O63 J54 2001")</f>
        <v>QA76.76.O63 J54 2001</v>
      </c>
      <c r="J730" t="str">
        <f>("0072129484")</f>
        <v>0072129484</v>
      </c>
      <c r="K730" t="str">
        <f>("1120")</f>
        <v>1120</v>
      </c>
      <c r="L730" t="str">
        <f t="shared" si="299"/>
        <v>2001/10/10 00:00:00</v>
      </c>
      <c r="M730" t="str">
        <f t="shared" ref="M730:M740" si="303">("2018/08/11 13:34:47")</f>
        <v>2018/08/11 13:34:47</v>
      </c>
      <c r="N730" t="str">
        <f>("2001")</f>
        <v>2001</v>
      </c>
      <c r="O730" t="str">
        <f t="shared" si="292"/>
        <v>4F西文書庫 4F Western Language Books</v>
      </c>
      <c r="P730" t="s">
        <v>64</v>
      </c>
      <c r="W730" t="str">
        <f t="shared" si="288"/>
        <v>美國國會圖書分類法</v>
      </c>
      <c r="Y730" t="str">
        <f>("QA76.76.O63")</f>
        <v>QA76.76.O63</v>
      </c>
      <c r="Z730" t="str">
        <f t="shared" si="301"/>
        <v>2018/08/11 13:34:46</v>
      </c>
      <c r="AA730" t="str">
        <f t="shared" si="296"/>
        <v>catc</v>
      </c>
      <c r="AC730" t="str">
        <f>("J54")</f>
        <v>J54</v>
      </c>
      <c r="AE730" t="str">
        <f t="shared" si="291"/>
        <v>c.1</v>
      </c>
      <c r="AF730" t="str">
        <f t="shared" si="280"/>
        <v>1.可借圖書</v>
      </c>
      <c r="AG730" t="str">
        <f t="shared" si="293"/>
        <v>在架</v>
      </c>
      <c r="AI730" t="s">
        <v>65</v>
      </c>
      <c r="AK730" t="str">
        <f t="shared" si="297"/>
        <v>一般(Normal)</v>
      </c>
      <c r="AO730" t="s">
        <v>65</v>
      </c>
      <c r="AS730" t="str">
        <f>("c2001. ")</f>
        <v xml:space="preserve">c2001. </v>
      </c>
      <c r="AT730" t="str">
        <f t="shared" si="298"/>
        <v>catc</v>
      </c>
    </row>
    <row r="731" spans="1:46" x14ac:dyDescent="0.25">
      <c r="A731">
        <v>720</v>
      </c>
      <c r="B731" t="str">
        <f>("289569")</f>
        <v>289569</v>
      </c>
      <c r="C731" t="str">
        <f>("W00002756")</f>
        <v>W00002756</v>
      </c>
      <c r="D731" t="str">
        <f>("Building Oracle XML applications / ")</f>
        <v xml:space="preserve">Building Oracle XML applications / </v>
      </c>
      <c r="E731" t="str">
        <f>("Muench, Steve. ")</f>
        <v xml:space="preserve">Muench, Steve. </v>
      </c>
      <c r="F731" t="str">
        <f>("O'Reilly, ")</f>
        <v xml:space="preserve">O'Reilly, </v>
      </c>
      <c r="H731" t="str">
        <f t="shared" si="302"/>
        <v>圖書 book</v>
      </c>
      <c r="I731" t="str">
        <f>("QA76.76.H94 M948 2000")</f>
        <v>QA76.76.H94 M948 2000</v>
      </c>
      <c r="J731" t="str">
        <f>("1565926919")</f>
        <v>1565926919</v>
      </c>
      <c r="K731" t="str">
        <f>("1264")</f>
        <v>1264</v>
      </c>
      <c r="L731" t="str">
        <f t="shared" si="299"/>
        <v>2001/10/10 00:00:00</v>
      </c>
      <c r="M731" t="str">
        <f t="shared" si="303"/>
        <v>2018/08/11 13:34:47</v>
      </c>
      <c r="N731" t="str">
        <f>("2000")</f>
        <v>2000</v>
      </c>
      <c r="O731" t="str">
        <f>("3F採編組辦公室")</f>
        <v>3F採編組辦公室</v>
      </c>
      <c r="P731" t="s">
        <v>64</v>
      </c>
      <c r="W731" t="str">
        <f t="shared" si="288"/>
        <v>美國國會圖書分類法</v>
      </c>
      <c r="Y731" t="str">
        <f>("QA76.76.H94")</f>
        <v>QA76.76.H94</v>
      </c>
      <c r="Z731" t="str">
        <f t="shared" ref="Z731:Z741" si="304">("2018/08/11 13:34:47")</f>
        <v>2018/08/11 13:34:47</v>
      </c>
      <c r="AA731" t="str">
        <f t="shared" si="296"/>
        <v>catc</v>
      </c>
      <c r="AC731" t="str">
        <f>("M948")</f>
        <v>M948</v>
      </c>
      <c r="AE731" t="str">
        <f t="shared" si="291"/>
        <v>c.1</v>
      </c>
      <c r="AF731" t="str">
        <f t="shared" si="280"/>
        <v>1.可借圖書</v>
      </c>
      <c r="AG731" t="str">
        <f>("報銷中")</f>
        <v>報銷中</v>
      </c>
      <c r="AI731" t="s">
        <v>66</v>
      </c>
      <c r="AK731" t="str">
        <f t="shared" si="297"/>
        <v>一般(Normal)</v>
      </c>
      <c r="AO731" t="s">
        <v>65</v>
      </c>
      <c r="AS731" t="str">
        <f>("c2000. ")</f>
        <v xml:space="preserve">c2000. </v>
      </c>
      <c r="AT731" t="str">
        <f t="shared" si="298"/>
        <v>catc</v>
      </c>
    </row>
    <row r="732" spans="1:46" x14ac:dyDescent="0.25">
      <c r="A732">
        <v>721</v>
      </c>
      <c r="B732" t="str">
        <f>("289570")</f>
        <v>289570</v>
      </c>
      <c r="C732" t="str">
        <f>("W00002757")</f>
        <v>W00002757</v>
      </c>
      <c r="D732" t="str">
        <f>("Programming embedded systems in C and C++ / ")</f>
        <v xml:space="preserve">Programming embedded systems in C and C++ / </v>
      </c>
      <c r="E732" t="str">
        <f>("Barr, Michael. ")</f>
        <v xml:space="preserve">Barr, Michael. </v>
      </c>
      <c r="F732" t="str">
        <f>("O'Reilly, ")</f>
        <v xml:space="preserve">O'Reilly, </v>
      </c>
      <c r="G732" t="str">
        <f>("1st ed. ")</f>
        <v xml:space="preserve">1st ed. </v>
      </c>
      <c r="H732" t="str">
        <f t="shared" si="302"/>
        <v>圖書 book</v>
      </c>
      <c r="I732" t="str">
        <f>("TK7895.E42 B268 1999")</f>
        <v>TK7895.E42 B268 1999</v>
      </c>
      <c r="J732" t="str">
        <f>("1565923545")</f>
        <v>1565923545</v>
      </c>
      <c r="K732" t="str">
        <f>("840")</f>
        <v>840</v>
      </c>
      <c r="L732" t="str">
        <f t="shared" si="299"/>
        <v>2001/10/10 00:00:00</v>
      </c>
      <c r="M732" t="str">
        <f t="shared" si="303"/>
        <v>2018/08/11 13:34:47</v>
      </c>
      <c r="N732" t="str">
        <f>("1999")</f>
        <v>1999</v>
      </c>
      <c r="O732" t="str">
        <f t="shared" ref="O732:O763" si="305">("4F西文書庫 4F Western Language Books")</f>
        <v>4F西文書庫 4F Western Language Books</v>
      </c>
      <c r="P732" t="s">
        <v>64</v>
      </c>
      <c r="W732" t="str">
        <f t="shared" si="288"/>
        <v>美國國會圖書分類法</v>
      </c>
      <c r="Y732" t="str">
        <f>("TK7895.E42")</f>
        <v>TK7895.E42</v>
      </c>
      <c r="Z732" t="str">
        <f t="shared" si="304"/>
        <v>2018/08/11 13:34:47</v>
      </c>
      <c r="AA732" t="str">
        <f t="shared" si="296"/>
        <v>catc</v>
      </c>
      <c r="AC732" t="str">
        <f>("B268")</f>
        <v>B268</v>
      </c>
      <c r="AE732" t="str">
        <f t="shared" si="291"/>
        <v>c.1</v>
      </c>
      <c r="AF732" t="str">
        <f t="shared" si="280"/>
        <v>1.可借圖書</v>
      </c>
      <c r="AG732" t="str">
        <f t="shared" ref="AG732:AG763" si="306">("在架")</f>
        <v>在架</v>
      </c>
      <c r="AI732" t="s">
        <v>65</v>
      </c>
      <c r="AK732" t="str">
        <f t="shared" si="297"/>
        <v>一般(Normal)</v>
      </c>
      <c r="AO732" t="s">
        <v>65</v>
      </c>
      <c r="AS732" t="str">
        <f>("c1999. ")</f>
        <v xml:space="preserve">c1999. </v>
      </c>
      <c r="AT732" t="str">
        <f t="shared" si="298"/>
        <v>catc</v>
      </c>
    </row>
    <row r="733" spans="1:46" x14ac:dyDescent="0.25">
      <c r="A733">
        <v>722</v>
      </c>
      <c r="B733" t="str">
        <f>("289553")</f>
        <v>289553</v>
      </c>
      <c r="C733" t="str">
        <f>("W00002758")</f>
        <v>W00002758</v>
      </c>
      <c r="D733" t="str">
        <f>("Java network programming / ")</f>
        <v xml:space="preserve">Java network programming / </v>
      </c>
      <c r="E733" t="str">
        <f>("Harold, Elliotte Rusty. ")</f>
        <v xml:space="preserve">Harold, Elliotte Rusty. </v>
      </c>
      <c r="F733" t="str">
        <f>("O'Reilly, ")</f>
        <v xml:space="preserve">O'Reilly, </v>
      </c>
      <c r="G733" t="str">
        <f>("2nd ed. ")</f>
        <v xml:space="preserve">2nd ed. </v>
      </c>
      <c r="H733" t="str">
        <f t="shared" si="302"/>
        <v>圖書 book</v>
      </c>
      <c r="I733" t="str">
        <f>("QA76.625 H292 2000")</f>
        <v>QA76.625 H292 2000</v>
      </c>
      <c r="J733" t="str">
        <f>("1565928709")</f>
        <v>1565928709</v>
      </c>
      <c r="K733" t="str">
        <f>("1120")</f>
        <v>1120</v>
      </c>
      <c r="L733" t="str">
        <f t="shared" si="299"/>
        <v>2001/10/10 00:00:00</v>
      </c>
      <c r="M733" t="str">
        <f t="shared" si="303"/>
        <v>2018/08/11 13:34:47</v>
      </c>
      <c r="N733" t="str">
        <f>("2000")</f>
        <v>2000</v>
      </c>
      <c r="O733" t="str">
        <f t="shared" si="305"/>
        <v>4F西文書庫 4F Western Language Books</v>
      </c>
      <c r="P733" t="s">
        <v>64</v>
      </c>
      <c r="W733" t="str">
        <f t="shared" si="288"/>
        <v>美國國會圖書分類法</v>
      </c>
      <c r="Y733" t="str">
        <f>("QA76.625")</f>
        <v>QA76.625</v>
      </c>
      <c r="Z733" t="str">
        <f t="shared" si="304"/>
        <v>2018/08/11 13:34:47</v>
      </c>
      <c r="AA733" t="str">
        <f t="shared" si="296"/>
        <v>catc</v>
      </c>
      <c r="AC733" t="str">
        <f>("H292")</f>
        <v>H292</v>
      </c>
      <c r="AE733" t="str">
        <f t="shared" si="291"/>
        <v>c.1</v>
      </c>
      <c r="AF733" t="str">
        <f t="shared" si="280"/>
        <v>1.可借圖書</v>
      </c>
      <c r="AG733" t="str">
        <f t="shared" si="306"/>
        <v>在架</v>
      </c>
      <c r="AI733" t="s">
        <v>65</v>
      </c>
      <c r="AK733" t="str">
        <f t="shared" si="297"/>
        <v>一般(Normal)</v>
      </c>
      <c r="AO733" t="s">
        <v>65</v>
      </c>
      <c r="AS733" t="str">
        <f>("c2000. ")</f>
        <v xml:space="preserve">c2000. </v>
      </c>
      <c r="AT733" t="str">
        <f t="shared" si="298"/>
        <v>catc</v>
      </c>
    </row>
    <row r="734" spans="1:46" x14ac:dyDescent="0.25">
      <c r="A734">
        <v>723</v>
      </c>
      <c r="B734" t="str">
        <f>("289554")</f>
        <v>289554</v>
      </c>
      <c r="C734" t="str">
        <f>("W00002759")</f>
        <v>W00002759</v>
      </c>
      <c r="D734" t="str">
        <f>("Sed &amp; awk /")</f>
        <v>Sed &amp; awk /</v>
      </c>
      <c r="E734" t="str">
        <f>("Dougherty, Dale ")</f>
        <v xml:space="preserve">Dougherty, Dale </v>
      </c>
      <c r="F734" t="str">
        <f>("O'Reilly,")</f>
        <v>O'Reilly,</v>
      </c>
      <c r="G734" t="str">
        <f>("2nd ed ")</f>
        <v xml:space="preserve">2nd ed </v>
      </c>
      <c r="H734" t="str">
        <f t="shared" si="302"/>
        <v>圖書 book</v>
      </c>
      <c r="I734" t="str">
        <f>("QA76.76.U84 D732 1997")</f>
        <v>QA76.76.U84 D732 1997</v>
      </c>
      <c r="J734" t="str">
        <f>("1565922255")</f>
        <v>1565922255</v>
      </c>
      <c r="K734" t="str">
        <f>("840")</f>
        <v>840</v>
      </c>
      <c r="L734" t="str">
        <f t="shared" si="299"/>
        <v>2001/10/10 00:00:00</v>
      </c>
      <c r="M734" t="str">
        <f t="shared" si="303"/>
        <v>2018/08/11 13:34:47</v>
      </c>
      <c r="N734" t="str">
        <f>("1997")</f>
        <v>1997</v>
      </c>
      <c r="O734" t="str">
        <f t="shared" si="305"/>
        <v>4F西文書庫 4F Western Language Books</v>
      </c>
      <c r="P734" t="s">
        <v>64</v>
      </c>
      <c r="W734" t="str">
        <f t="shared" si="288"/>
        <v>美國國會圖書分類法</v>
      </c>
      <c r="Y734" t="str">
        <f>("QA76.76.U84")</f>
        <v>QA76.76.U84</v>
      </c>
      <c r="Z734" t="str">
        <f t="shared" si="304"/>
        <v>2018/08/11 13:34:47</v>
      </c>
      <c r="AA734" t="str">
        <f t="shared" si="296"/>
        <v>catc</v>
      </c>
      <c r="AC734" t="str">
        <f>("D732")</f>
        <v>D732</v>
      </c>
      <c r="AE734" t="str">
        <f t="shared" ref="AE734:AE765" si="307">("c.1")</f>
        <v>c.1</v>
      </c>
      <c r="AF734" t="str">
        <f t="shared" si="280"/>
        <v>1.可借圖書</v>
      </c>
      <c r="AG734" t="str">
        <f t="shared" si="306"/>
        <v>在架</v>
      </c>
      <c r="AI734" t="s">
        <v>65</v>
      </c>
      <c r="AK734" t="str">
        <f t="shared" si="297"/>
        <v>一般(Normal)</v>
      </c>
      <c r="AO734" t="s">
        <v>65</v>
      </c>
      <c r="AS734" t="str">
        <f>("c1997 ")</f>
        <v xml:space="preserve">c1997 </v>
      </c>
      <c r="AT734" t="str">
        <f t="shared" si="298"/>
        <v>catc</v>
      </c>
    </row>
    <row r="735" spans="1:46" x14ac:dyDescent="0.25">
      <c r="A735">
        <v>724</v>
      </c>
      <c r="B735" t="str">
        <f>("289555")</f>
        <v>289555</v>
      </c>
      <c r="C735" t="str">
        <f>("W00002760")</f>
        <v>W00002760</v>
      </c>
      <c r="D735" t="str">
        <f>("Intrusion detection  ")</f>
        <v xml:space="preserve">Intrusion detection  </v>
      </c>
      <c r="E735" t="str">
        <f>("Bace, Rebecca Gurley. ")</f>
        <v xml:space="preserve">Bace, Rebecca Gurley. </v>
      </c>
      <c r="F735" t="str">
        <f>("Macmillan Technical Publishing, ")</f>
        <v xml:space="preserve">Macmillan Technical Publishing, </v>
      </c>
      <c r="H735" t="str">
        <f t="shared" si="302"/>
        <v>圖書 book</v>
      </c>
      <c r="I735" t="str">
        <f>("TK5105.59 B116 2000")</f>
        <v>TK5105.59 B116 2000</v>
      </c>
      <c r="J735" t="str">
        <f>("1578701856")</f>
        <v>1578701856</v>
      </c>
      <c r="K735" t="str">
        <f>("1400")</f>
        <v>1400</v>
      </c>
      <c r="L735" t="str">
        <f t="shared" si="299"/>
        <v>2001/10/10 00:00:00</v>
      </c>
      <c r="M735" t="str">
        <f t="shared" si="303"/>
        <v>2018/08/11 13:34:47</v>
      </c>
      <c r="N735" t="str">
        <f>("2000")</f>
        <v>2000</v>
      </c>
      <c r="O735" t="str">
        <f t="shared" si="305"/>
        <v>4F西文書庫 4F Western Language Books</v>
      </c>
      <c r="P735" t="s">
        <v>64</v>
      </c>
      <c r="W735" t="str">
        <f t="shared" si="288"/>
        <v>美國國會圖書分類法</v>
      </c>
      <c r="Y735" t="str">
        <f>("TK5105.59")</f>
        <v>TK5105.59</v>
      </c>
      <c r="Z735" t="str">
        <f t="shared" si="304"/>
        <v>2018/08/11 13:34:47</v>
      </c>
      <c r="AA735" t="str">
        <f t="shared" si="296"/>
        <v>catc</v>
      </c>
      <c r="AC735" t="str">
        <f>("B116")</f>
        <v>B116</v>
      </c>
      <c r="AE735" t="str">
        <f t="shared" si="307"/>
        <v>c.1</v>
      </c>
      <c r="AF735" t="str">
        <f t="shared" si="280"/>
        <v>1.可借圖書</v>
      </c>
      <c r="AG735" t="str">
        <f t="shared" si="306"/>
        <v>在架</v>
      </c>
      <c r="AI735" t="s">
        <v>65</v>
      </c>
      <c r="AK735" t="str">
        <f t="shared" si="297"/>
        <v>一般(Normal)</v>
      </c>
      <c r="AO735" t="s">
        <v>65</v>
      </c>
      <c r="AS735" t="str">
        <f>("c2000. ")</f>
        <v xml:space="preserve">c2000. </v>
      </c>
      <c r="AT735" t="str">
        <f t="shared" si="298"/>
        <v>catc</v>
      </c>
    </row>
    <row r="736" spans="1:46" x14ac:dyDescent="0.25">
      <c r="A736">
        <v>725</v>
      </c>
      <c r="B736" t="str">
        <f>("289556")</f>
        <v>289556</v>
      </c>
      <c r="C736" t="str">
        <f>("W00002761")</f>
        <v>W00002761</v>
      </c>
      <c r="D736" t="str">
        <f>("Build your own PC / ")</f>
        <v xml:space="preserve">Build your own PC / </v>
      </c>
      <c r="E736" t="str">
        <f>("Rosenthal, Morris. ")</f>
        <v xml:space="preserve">Rosenthal, Morris. </v>
      </c>
      <c r="F736" t="str">
        <f>("McGraw-Hill, ")</f>
        <v xml:space="preserve">McGraw-Hill, </v>
      </c>
      <c r="G736" t="str">
        <f>("2nd ed. ")</f>
        <v xml:space="preserve">2nd ed. </v>
      </c>
      <c r="H736" t="str">
        <f t="shared" si="302"/>
        <v>圖書 book</v>
      </c>
      <c r="I736" t="str">
        <f>("TK7888.3 R813 2000")</f>
        <v>TK7888.3 R813 2000</v>
      </c>
      <c r="J736" t="str">
        <f>("0072124679")</f>
        <v>0072124679</v>
      </c>
      <c r="K736" t="str">
        <f>("704")</f>
        <v>704</v>
      </c>
      <c r="L736" t="str">
        <f t="shared" si="299"/>
        <v>2001/10/10 00:00:00</v>
      </c>
      <c r="M736" t="str">
        <f t="shared" si="303"/>
        <v>2018/08/11 13:34:47</v>
      </c>
      <c r="N736" t="str">
        <f>("2000")</f>
        <v>2000</v>
      </c>
      <c r="O736" t="str">
        <f t="shared" si="305"/>
        <v>4F西文書庫 4F Western Language Books</v>
      </c>
      <c r="P736" t="s">
        <v>64</v>
      </c>
      <c r="W736" t="str">
        <f t="shared" si="288"/>
        <v>美國國會圖書分類法</v>
      </c>
      <c r="Y736" t="str">
        <f>("TK7888.3")</f>
        <v>TK7888.3</v>
      </c>
      <c r="Z736" t="str">
        <f t="shared" si="304"/>
        <v>2018/08/11 13:34:47</v>
      </c>
      <c r="AA736" t="str">
        <f t="shared" si="296"/>
        <v>catc</v>
      </c>
      <c r="AC736" t="str">
        <f>("R813")</f>
        <v>R813</v>
      </c>
      <c r="AE736" t="str">
        <f t="shared" si="307"/>
        <v>c.1</v>
      </c>
      <c r="AF736" t="str">
        <f t="shared" si="280"/>
        <v>1.可借圖書</v>
      </c>
      <c r="AG736" t="str">
        <f t="shared" si="306"/>
        <v>在架</v>
      </c>
      <c r="AI736" t="s">
        <v>65</v>
      </c>
      <c r="AK736" t="str">
        <f t="shared" si="297"/>
        <v>一般(Normal)</v>
      </c>
      <c r="AO736" t="s">
        <v>65</v>
      </c>
      <c r="AS736" t="str">
        <f>("c2000. ")</f>
        <v xml:space="preserve">c2000. </v>
      </c>
      <c r="AT736" t="str">
        <f t="shared" si="298"/>
        <v>catc</v>
      </c>
    </row>
    <row r="737" spans="1:46" x14ac:dyDescent="0.25">
      <c r="A737">
        <v>726</v>
      </c>
      <c r="B737" t="str">
        <f>("289557")</f>
        <v>289557</v>
      </c>
      <c r="C737" t="str">
        <f>("W00002762")</f>
        <v>W00002762</v>
      </c>
      <c r="D737" t="str">
        <f>("Mastering sql server 2000 / ")</f>
        <v xml:space="preserve">Mastering sql server 2000 / </v>
      </c>
      <c r="E737" t="str">
        <f>("Gunderloy, Mike. ")</f>
        <v xml:space="preserve">Gunderloy, Mike. </v>
      </c>
      <c r="F737" t="str">
        <f>("Sybex, Inc., ")</f>
        <v xml:space="preserve">Sybex, Inc., </v>
      </c>
      <c r="G737" t="str">
        <f>("1st ed. ")</f>
        <v xml:space="preserve">1st ed. </v>
      </c>
      <c r="H737" t="str">
        <f t="shared" si="302"/>
        <v>圖書 book</v>
      </c>
      <c r="I737" t="str">
        <f>("TK5105.8885 G975 2000")</f>
        <v>TK5105.8885 G975 2000</v>
      </c>
      <c r="J737" t="str">
        <f>("0782126278")</f>
        <v>0782126278</v>
      </c>
      <c r="K737" t="str">
        <f>("1400")</f>
        <v>1400</v>
      </c>
      <c r="L737" t="str">
        <f t="shared" si="299"/>
        <v>2001/10/10 00:00:00</v>
      </c>
      <c r="M737" t="str">
        <f t="shared" si="303"/>
        <v>2018/08/11 13:34:47</v>
      </c>
      <c r="N737" t="str">
        <f>("2000")</f>
        <v>2000</v>
      </c>
      <c r="O737" t="str">
        <f t="shared" si="305"/>
        <v>4F西文書庫 4F Western Language Books</v>
      </c>
      <c r="P737" t="s">
        <v>64</v>
      </c>
      <c r="W737" t="str">
        <f t="shared" si="288"/>
        <v>美國國會圖書分類法</v>
      </c>
      <c r="Y737" t="str">
        <f>("TK5105.8885")</f>
        <v>TK5105.8885</v>
      </c>
      <c r="Z737" t="str">
        <f t="shared" si="304"/>
        <v>2018/08/11 13:34:47</v>
      </c>
      <c r="AA737" t="str">
        <f t="shared" si="296"/>
        <v>catc</v>
      </c>
      <c r="AC737" t="str">
        <f>("G975")</f>
        <v>G975</v>
      </c>
      <c r="AE737" t="str">
        <f t="shared" si="307"/>
        <v>c.1</v>
      </c>
      <c r="AF737" t="str">
        <f t="shared" ref="AF737:AF800" si="308">("1.可借圖書")</f>
        <v>1.可借圖書</v>
      </c>
      <c r="AG737" t="str">
        <f t="shared" si="306"/>
        <v>在架</v>
      </c>
      <c r="AI737" t="s">
        <v>65</v>
      </c>
      <c r="AK737" t="str">
        <f t="shared" si="297"/>
        <v>一般(Normal)</v>
      </c>
      <c r="AO737" t="s">
        <v>65</v>
      </c>
      <c r="AS737" t="str">
        <f>("2000. ")</f>
        <v xml:space="preserve">2000. </v>
      </c>
      <c r="AT737" t="str">
        <f t="shared" si="298"/>
        <v>catc</v>
      </c>
    </row>
    <row r="738" spans="1:46" x14ac:dyDescent="0.25">
      <c r="A738">
        <v>727</v>
      </c>
      <c r="B738" t="str">
        <f>("289558")</f>
        <v>289558</v>
      </c>
      <c r="C738" t="str">
        <f>("W00002763")</f>
        <v>W00002763</v>
      </c>
      <c r="D738" t="str">
        <f>("SanFrancisco life cycle programming techniques /")</f>
        <v>SanFrancisco life cycle programming techniques /</v>
      </c>
      <c r="E738" t="str">
        <f>("Johnson, Maynard,1951- ")</f>
        <v xml:space="preserve">Johnson, Maynard,1951- </v>
      </c>
      <c r="F738" t="str">
        <f>("Addison-Wesley,")</f>
        <v>Addison-Wesley,</v>
      </c>
      <c r="H738" t="str">
        <f t="shared" si="302"/>
        <v>圖書 book</v>
      </c>
      <c r="I738" t="str">
        <f>("HF5547.15 J68 2000")</f>
        <v>HF5547.15 J68 2000</v>
      </c>
      <c r="J738" t="str">
        <f>("0201616580")</f>
        <v>0201616580</v>
      </c>
      <c r="K738" t="str">
        <f>("1120")</f>
        <v>1120</v>
      </c>
      <c r="L738" t="str">
        <f t="shared" si="299"/>
        <v>2001/10/10 00:00:00</v>
      </c>
      <c r="M738" t="str">
        <f t="shared" si="303"/>
        <v>2018/08/11 13:34:47</v>
      </c>
      <c r="N738" t="str">
        <f>("2000")</f>
        <v>2000</v>
      </c>
      <c r="O738" t="str">
        <f t="shared" si="305"/>
        <v>4F西文書庫 4F Western Language Books</v>
      </c>
      <c r="P738" t="s">
        <v>64</v>
      </c>
      <c r="W738" t="str">
        <f t="shared" si="288"/>
        <v>美國國會圖書分類法</v>
      </c>
      <c r="Y738" t="str">
        <f>("HF5547.15")</f>
        <v>HF5547.15</v>
      </c>
      <c r="Z738" t="str">
        <f t="shared" si="304"/>
        <v>2018/08/11 13:34:47</v>
      </c>
      <c r="AA738" t="str">
        <f t="shared" si="296"/>
        <v>catc</v>
      </c>
      <c r="AC738" t="str">
        <f>("J68")</f>
        <v>J68</v>
      </c>
      <c r="AE738" t="str">
        <f t="shared" si="307"/>
        <v>c.1</v>
      </c>
      <c r="AF738" t="str">
        <f t="shared" si="308"/>
        <v>1.可借圖書</v>
      </c>
      <c r="AG738" t="str">
        <f t="shared" si="306"/>
        <v>在架</v>
      </c>
      <c r="AI738" t="s">
        <v>65</v>
      </c>
      <c r="AK738" t="str">
        <f t="shared" si="297"/>
        <v>一般(Normal)</v>
      </c>
      <c r="AO738" t="s">
        <v>65</v>
      </c>
      <c r="AS738" t="str">
        <f>("c2000 ")</f>
        <v xml:space="preserve">c2000 </v>
      </c>
      <c r="AT738" t="str">
        <f t="shared" si="298"/>
        <v>catc</v>
      </c>
    </row>
    <row r="739" spans="1:46" x14ac:dyDescent="0.25">
      <c r="A739">
        <v>728</v>
      </c>
      <c r="B739" t="str">
        <f>("289559")</f>
        <v>289559</v>
      </c>
      <c r="C739" t="str">
        <f>("W00002764")</f>
        <v>W00002764</v>
      </c>
      <c r="D739" t="str">
        <f>("TCP/IP network administration /")</f>
        <v>TCP/IP network administration /</v>
      </c>
      <c r="E739" t="str">
        <f>("Hunt, Craig ")</f>
        <v xml:space="preserve">Hunt, Craig </v>
      </c>
      <c r="F739" t="str">
        <f>("O'Reilly &amp;Associates,")</f>
        <v>O'Reilly &amp;Associates,</v>
      </c>
      <c r="G739" t="str">
        <f>("2nd ed ")</f>
        <v xml:space="preserve">2nd ed </v>
      </c>
      <c r="H739" t="str">
        <f t="shared" si="302"/>
        <v>圖書 book</v>
      </c>
      <c r="I739" t="str">
        <f>("TK5105.55 H939 1998")</f>
        <v>TK5105.55 H939 1998</v>
      </c>
      <c r="J739" t="str">
        <f>("1565923227")</f>
        <v>1565923227</v>
      </c>
      <c r="K739" t="str">
        <f>("1064")</f>
        <v>1064</v>
      </c>
      <c r="L739" t="str">
        <f t="shared" si="299"/>
        <v>2001/10/10 00:00:00</v>
      </c>
      <c r="M739" t="str">
        <f t="shared" si="303"/>
        <v>2018/08/11 13:34:47</v>
      </c>
      <c r="N739" t="str">
        <f>("1998")</f>
        <v>1998</v>
      </c>
      <c r="O739" t="str">
        <f t="shared" si="305"/>
        <v>4F西文書庫 4F Western Language Books</v>
      </c>
      <c r="P739" t="s">
        <v>64</v>
      </c>
      <c r="W739" t="str">
        <f t="shared" si="288"/>
        <v>美國國會圖書分類法</v>
      </c>
      <c r="Y739" t="str">
        <f>("TK5105.55")</f>
        <v>TK5105.55</v>
      </c>
      <c r="Z739" t="str">
        <f t="shared" si="304"/>
        <v>2018/08/11 13:34:47</v>
      </c>
      <c r="AA739" t="str">
        <f t="shared" si="296"/>
        <v>catc</v>
      </c>
      <c r="AC739" t="str">
        <f>("H939")</f>
        <v>H939</v>
      </c>
      <c r="AE739" t="str">
        <f t="shared" si="307"/>
        <v>c.1</v>
      </c>
      <c r="AF739" t="str">
        <f t="shared" si="308"/>
        <v>1.可借圖書</v>
      </c>
      <c r="AG739" t="str">
        <f t="shared" si="306"/>
        <v>在架</v>
      </c>
      <c r="AI739" t="s">
        <v>65</v>
      </c>
      <c r="AK739" t="str">
        <f t="shared" si="297"/>
        <v>一般(Normal)</v>
      </c>
      <c r="AO739" t="s">
        <v>65</v>
      </c>
      <c r="AS739" t="str">
        <f>("c1998 ")</f>
        <v xml:space="preserve">c1998 </v>
      </c>
      <c r="AT739" t="str">
        <f t="shared" si="298"/>
        <v>catc</v>
      </c>
    </row>
    <row r="740" spans="1:46" x14ac:dyDescent="0.25">
      <c r="A740">
        <v>729</v>
      </c>
      <c r="B740" t="str">
        <f>("289560")</f>
        <v>289560</v>
      </c>
      <c r="C740" t="str">
        <f>("W00002765")</f>
        <v>W00002765</v>
      </c>
      <c r="D740" t="str">
        <f>("Instant JavaServer pages / ")</f>
        <v xml:space="preserve">Instant JavaServer pages / </v>
      </c>
      <c r="E740" t="str">
        <f>("Tremblett, Paul. ")</f>
        <v xml:space="preserve">Tremblett, Paul. </v>
      </c>
      <c r="F740" t="str">
        <f>("McGraw-Hill, ")</f>
        <v xml:space="preserve">McGraw-Hill, </v>
      </c>
      <c r="H740" t="str">
        <f t="shared" si="302"/>
        <v>圖書 book</v>
      </c>
      <c r="I740" t="str">
        <f>("TK5105.8885 T789 2000")</f>
        <v>TK5105.8885 T789 2000</v>
      </c>
      <c r="J740" t="str">
        <f>("0072126019")</f>
        <v>0072126019</v>
      </c>
      <c r="K740" t="str">
        <f>("1400")</f>
        <v>1400</v>
      </c>
      <c r="L740" t="str">
        <f t="shared" si="299"/>
        <v>2001/10/10 00:00:00</v>
      </c>
      <c r="M740" t="str">
        <f t="shared" si="303"/>
        <v>2018/08/11 13:34:47</v>
      </c>
      <c r="N740" t="str">
        <f>("2000")</f>
        <v>2000</v>
      </c>
      <c r="O740" t="str">
        <f t="shared" si="305"/>
        <v>4F西文書庫 4F Western Language Books</v>
      </c>
      <c r="P740" t="s">
        <v>64</v>
      </c>
      <c r="W740" t="str">
        <f t="shared" si="288"/>
        <v>美國國會圖書分類法</v>
      </c>
      <c r="Y740" t="str">
        <f>("TK5105.8885")</f>
        <v>TK5105.8885</v>
      </c>
      <c r="Z740" t="str">
        <f t="shared" si="304"/>
        <v>2018/08/11 13:34:47</v>
      </c>
      <c r="AA740" t="str">
        <f t="shared" si="296"/>
        <v>catc</v>
      </c>
      <c r="AC740" t="str">
        <f>("T789")</f>
        <v>T789</v>
      </c>
      <c r="AE740" t="str">
        <f t="shared" si="307"/>
        <v>c.1</v>
      </c>
      <c r="AF740" t="str">
        <f t="shared" si="308"/>
        <v>1.可借圖書</v>
      </c>
      <c r="AG740" t="str">
        <f t="shared" si="306"/>
        <v>在架</v>
      </c>
      <c r="AI740" t="s">
        <v>65</v>
      </c>
      <c r="AK740" t="str">
        <f t="shared" si="297"/>
        <v>一般(Normal)</v>
      </c>
      <c r="AO740" t="s">
        <v>65</v>
      </c>
      <c r="AS740" t="str">
        <f>("c2000. ")</f>
        <v xml:space="preserve">c2000. </v>
      </c>
      <c r="AT740" t="str">
        <f t="shared" si="298"/>
        <v>catc</v>
      </c>
    </row>
    <row r="741" spans="1:46" x14ac:dyDescent="0.25">
      <c r="A741">
        <v>730</v>
      </c>
      <c r="B741" t="str">
        <f>("289571")</f>
        <v>289571</v>
      </c>
      <c r="C741" t="str">
        <f>("W00002766")</f>
        <v>W00002766</v>
      </c>
      <c r="D741" t="str">
        <f>("Inside the Java virtual machine / ")</f>
        <v xml:space="preserve">Inside the Java virtual machine / </v>
      </c>
      <c r="E741" t="str">
        <f>("Venners, Bill. ")</f>
        <v xml:space="preserve">Venners, Bill. </v>
      </c>
      <c r="F741" t="str">
        <f>("McGraw-Hill, ")</f>
        <v xml:space="preserve">McGraw-Hill, </v>
      </c>
      <c r="G741" t="str">
        <f>("2nd ed. ")</f>
        <v xml:space="preserve">2nd ed. </v>
      </c>
      <c r="H741" t="str">
        <f t="shared" si="302"/>
        <v>圖書 book</v>
      </c>
      <c r="I741" t="str">
        <f>("QA76.73 V463 1999")</f>
        <v>QA76.73 V463 1999</v>
      </c>
      <c r="J741" t="str">
        <f>("0071350934")</f>
        <v>0071350934</v>
      </c>
      <c r="K741" t="str">
        <f>("1400")</f>
        <v>1400</v>
      </c>
      <c r="L741" t="str">
        <f t="shared" si="299"/>
        <v>2001/10/10 00:00:00</v>
      </c>
      <c r="M741" t="str">
        <f>("2018/08/11 13:34:48")</f>
        <v>2018/08/11 13:34:48</v>
      </c>
      <c r="N741" t="str">
        <f>("1999")</f>
        <v>1999</v>
      </c>
      <c r="O741" t="str">
        <f t="shared" si="305"/>
        <v>4F西文書庫 4F Western Language Books</v>
      </c>
      <c r="P741" t="s">
        <v>64</v>
      </c>
      <c r="W741" t="str">
        <f t="shared" si="288"/>
        <v>美國國會圖書分類法</v>
      </c>
      <c r="Y741" t="str">
        <f>("QA76.73")</f>
        <v>QA76.73</v>
      </c>
      <c r="Z741" t="str">
        <f t="shared" si="304"/>
        <v>2018/08/11 13:34:47</v>
      </c>
      <c r="AA741" t="str">
        <f t="shared" si="296"/>
        <v>catc</v>
      </c>
      <c r="AC741" t="str">
        <f>("V463")</f>
        <v>V463</v>
      </c>
      <c r="AE741" t="str">
        <f t="shared" si="307"/>
        <v>c.1</v>
      </c>
      <c r="AF741" t="str">
        <f t="shared" si="308"/>
        <v>1.可借圖書</v>
      </c>
      <c r="AG741" t="str">
        <f t="shared" si="306"/>
        <v>在架</v>
      </c>
      <c r="AI741" t="s">
        <v>65</v>
      </c>
      <c r="AK741" t="str">
        <f t="shared" si="297"/>
        <v>一般(Normal)</v>
      </c>
      <c r="AO741" t="s">
        <v>65</v>
      </c>
      <c r="AS741" t="str">
        <f>("c1999. ")</f>
        <v xml:space="preserve">c1999. </v>
      </c>
      <c r="AT741" t="str">
        <f t="shared" si="298"/>
        <v>catc</v>
      </c>
    </row>
    <row r="742" spans="1:46" x14ac:dyDescent="0.25">
      <c r="A742">
        <v>731</v>
      </c>
      <c r="B742" t="str">
        <f>("289572")</f>
        <v>289572</v>
      </c>
      <c r="C742" t="str">
        <f>("W00002767")</f>
        <v>W00002767</v>
      </c>
      <c r="D742" t="str">
        <f>("Adobe InDesign bible / ")</f>
        <v xml:space="preserve">Adobe InDesign bible / </v>
      </c>
      <c r="E742" t="str">
        <f>("Gruman, Galen. ")</f>
        <v xml:space="preserve">Gruman, Galen. </v>
      </c>
      <c r="F742" t="str">
        <f>("IDG Books Worldwide, ")</f>
        <v xml:space="preserve">IDG Books Worldwide, </v>
      </c>
      <c r="H742" t="str">
        <f t="shared" si="302"/>
        <v>圖書 book</v>
      </c>
      <c r="I742" t="str">
        <f>("Z253.532 G885 1999")</f>
        <v>Z253.532 G885 1999</v>
      </c>
      <c r="J742" t="str">
        <f>("076453243X")</f>
        <v>076453243X</v>
      </c>
      <c r="K742" t="str">
        <f>("1120")</f>
        <v>1120</v>
      </c>
      <c r="L742" t="str">
        <f t="shared" si="299"/>
        <v>2001/10/10 00:00:00</v>
      </c>
      <c r="M742" t="str">
        <f>("2018/08/11 13:34:48")</f>
        <v>2018/08/11 13:34:48</v>
      </c>
      <c r="N742" t="str">
        <f>("1999")</f>
        <v>1999</v>
      </c>
      <c r="O742" t="str">
        <f t="shared" si="305"/>
        <v>4F西文書庫 4F Western Language Books</v>
      </c>
      <c r="P742" t="s">
        <v>64</v>
      </c>
      <c r="W742" t="str">
        <f t="shared" si="288"/>
        <v>美國國會圖書分類法</v>
      </c>
      <c r="Y742" t="str">
        <f>("Z253.532")</f>
        <v>Z253.532</v>
      </c>
      <c r="Z742" t="str">
        <f>("2018/08/11 13:34:48")</f>
        <v>2018/08/11 13:34:48</v>
      </c>
      <c r="AA742" t="str">
        <f t="shared" si="296"/>
        <v>catc</v>
      </c>
      <c r="AC742" t="str">
        <f>("G885")</f>
        <v>G885</v>
      </c>
      <c r="AE742" t="str">
        <f t="shared" si="307"/>
        <v>c.1</v>
      </c>
      <c r="AF742" t="str">
        <f t="shared" si="308"/>
        <v>1.可借圖書</v>
      </c>
      <c r="AG742" t="str">
        <f t="shared" si="306"/>
        <v>在架</v>
      </c>
      <c r="AI742" t="s">
        <v>65</v>
      </c>
      <c r="AK742" t="str">
        <f t="shared" si="297"/>
        <v>一般(Normal)</v>
      </c>
      <c r="AO742" t="s">
        <v>65</v>
      </c>
      <c r="AS742" t="str">
        <f>("c1999. ")</f>
        <v xml:space="preserve">c1999. </v>
      </c>
      <c r="AT742" t="str">
        <f t="shared" si="298"/>
        <v>catc</v>
      </c>
    </row>
    <row r="743" spans="1:46" x14ac:dyDescent="0.25">
      <c r="A743">
        <v>732</v>
      </c>
      <c r="B743" t="str">
        <f>("288334")</f>
        <v>288334</v>
      </c>
      <c r="C743" t="str">
        <f>("W00002768")</f>
        <v>W00002768</v>
      </c>
      <c r="D743" t="str">
        <f>("Cisco Internetworking with Windows NT &amp; 2000 /")</f>
        <v>Cisco Internetworking with Windows NT &amp; 2000 /</v>
      </c>
      <c r="E743" t="str">
        <f>("Velte, Toby J. ")</f>
        <v xml:space="preserve">Velte, Toby J. </v>
      </c>
      <c r="F743" t="str">
        <f>("Osborne/McGraw-Hill, ")</f>
        <v xml:space="preserve">Osborne/McGraw-Hill, </v>
      </c>
      <c r="H743" t="str">
        <f t="shared" si="302"/>
        <v>圖書 book</v>
      </c>
      <c r="I743" t="str">
        <f>("TK5105.5 V445 2000")</f>
        <v>TK5105.5 V445 2000</v>
      </c>
      <c r="J743" t="str">
        <f>("0072120835")</f>
        <v>0072120835</v>
      </c>
      <c r="K743" t="str">
        <f>("1400")</f>
        <v>1400</v>
      </c>
      <c r="L743" t="str">
        <f t="shared" si="299"/>
        <v>2001/10/10 00:00:00</v>
      </c>
      <c r="M743" t="str">
        <f>("2018/08/11 13:32:47")</f>
        <v>2018/08/11 13:32:47</v>
      </c>
      <c r="N743" t="str">
        <f>("2000")</f>
        <v>2000</v>
      </c>
      <c r="O743" t="str">
        <f t="shared" si="305"/>
        <v>4F西文書庫 4F Western Language Books</v>
      </c>
      <c r="P743" t="s">
        <v>64</v>
      </c>
      <c r="S743" t="str">
        <f>("xxv, 726 p. : ")</f>
        <v xml:space="preserve">xxv, 726 p. : </v>
      </c>
      <c r="T743" t="str">
        <f>("ill. ; ")</f>
        <v xml:space="preserve">ill. ; </v>
      </c>
      <c r="U743" t="str">
        <f>("23 cm. ")</f>
        <v xml:space="preserve">23 cm. </v>
      </c>
      <c r="W743" t="str">
        <f t="shared" si="288"/>
        <v>美國國會圖書分類法</v>
      </c>
      <c r="Y743" t="str">
        <f>("TK5105.5")</f>
        <v>TK5105.5</v>
      </c>
      <c r="Z743" t="str">
        <f>("2018/08/11 13:32:47")</f>
        <v>2018/08/11 13:32:47</v>
      </c>
      <c r="AA743" t="str">
        <f t="shared" si="296"/>
        <v>catc</v>
      </c>
      <c r="AC743" t="str">
        <f>("V445")</f>
        <v>V445</v>
      </c>
      <c r="AE743" t="str">
        <f t="shared" si="307"/>
        <v>c.1</v>
      </c>
      <c r="AF743" t="str">
        <f t="shared" si="308"/>
        <v>1.可借圖書</v>
      </c>
      <c r="AG743" t="str">
        <f t="shared" si="306"/>
        <v>在架</v>
      </c>
      <c r="AI743" t="s">
        <v>65</v>
      </c>
      <c r="AK743" t="str">
        <f t="shared" si="297"/>
        <v>一般(Normal)</v>
      </c>
      <c r="AO743" t="s">
        <v>65</v>
      </c>
      <c r="AS743" t="str">
        <f>("c2000. ")</f>
        <v xml:space="preserve">c2000. </v>
      </c>
      <c r="AT743" t="str">
        <f t="shared" si="298"/>
        <v>catc</v>
      </c>
    </row>
    <row r="744" spans="1:46" x14ac:dyDescent="0.25">
      <c r="A744">
        <v>733</v>
      </c>
      <c r="B744" t="str">
        <f>("289573")</f>
        <v>289573</v>
      </c>
      <c r="C744" t="str">
        <f>("W00002769")</f>
        <v>W00002769</v>
      </c>
      <c r="D744" t="str">
        <f>("RIP : an intra-domain routing protocol / ")</f>
        <v xml:space="preserve">RIP : an intra-domain routing protocol / </v>
      </c>
      <c r="E744" t="str">
        <f>("Malkin, Gary Scott, 1961- ")</f>
        <v xml:space="preserve">Malkin, Gary Scott, 1961- </v>
      </c>
      <c r="F744" t="str">
        <f>("Addison-Wesley, ")</f>
        <v xml:space="preserve">Addison-Wesley, </v>
      </c>
      <c r="H744" t="str">
        <f t="shared" si="302"/>
        <v>圖書 book</v>
      </c>
      <c r="I744" t="str">
        <f>("TK5105.543 M236 2000")</f>
        <v>TK5105.543 M236 2000</v>
      </c>
      <c r="J744" t="str">
        <f>("0201433206")</f>
        <v>0201433206</v>
      </c>
      <c r="K744" t="str">
        <f>("560")</f>
        <v>560</v>
      </c>
      <c r="L744" t="str">
        <f t="shared" si="299"/>
        <v>2001/10/10 00:00:00</v>
      </c>
      <c r="M744" t="str">
        <f t="shared" ref="M744:M753" si="309">("2018/08/11 13:34:48")</f>
        <v>2018/08/11 13:34:48</v>
      </c>
      <c r="N744" t="str">
        <f>("2000")</f>
        <v>2000</v>
      </c>
      <c r="O744" t="str">
        <f t="shared" si="305"/>
        <v>4F西文書庫 4F Western Language Books</v>
      </c>
      <c r="P744" t="s">
        <v>64</v>
      </c>
      <c r="W744" t="str">
        <f t="shared" si="288"/>
        <v>美國國會圖書分類法</v>
      </c>
      <c r="Y744" t="str">
        <f>("TK5105.543")</f>
        <v>TK5105.543</v>
      </c>
      <c r="Z744" t="str">
        <f t="shared" ref="Z744:Z753" si="310">("2018/08/11 13:34:48")</f>
        <v>2018/08/11 13:34:48</v>
      </c>
      <c r="AA744" t="str">
        <f t="shared" si="296"/>
        <v>catc</v>
      </c>
      <c r="AC744" t="str">
        <f>("M236")</f>
        <v>M236</v>
      </c>
      <c r="AE744" t="str">
        <f t="shared" si="307"/>
        <v>c.1</v>
      </c>
      <c r="AF744" t="str">
        <f t="shared" si="308"/>
        <v>1.可借圖書</v>
      </c>
      <c r="AG744" t="str">
        <f t="shared" si="306"/>
        <v>在架</v>
      </c>
      <c r="AI744" t="s">
        <v>65</v>
      </c>
      <c r="AK744" t="str">
        <f t="shared" si="297"/>
        <v>一般(Normal)</v>
      </c>
      <c r="AO744" t="s">
        <v>65</v>
      </c>
      <c r="AS744" t="str">
        <f>("2000. ")</f>
        <v xml:space="preserve">2000. </v>
      </c>
      <c r="AT744" t="str">
        <f t="shared" si="298"/>
        <v>catc</v>
      </c>
    </row>
    <row r="745" spans="1:46" x14ac:dyDescent="0.25">
      <c r="A745">
        <v>734</v>
      </c>
      <c r="B745" t="str">
        <f>("289574")</f>
        <v>289574</v>
      </c>
      <c r="C745" t="str">
        <f>("W00002770")</f>
        <v>W00002770</v>
      </c>
      <c r="D745" t="str">
        <f>("Java 2 and Javascript for C and C++ programmers / ")</f>
        <v xml:space="preserve">Java 2 and Javascript for C and C++ programmers / </v>
      </c>
      <c r="E745" t="str">
        <f>("Daconta, Michael C. ")</f>
        <v xml:space="preserve">Daconta, Michael C. </v>
      </c>
      <c r="F745" t="str">
        <f>("Wiley, ")</f>
        <v xml:space="preserve">Wiley, </v>
      </c>
      <c r="G745" t="str">
        <f>("Rev. ed. ")</f>
        <v xml:space="preserve">Rev. ed. </v>
      </c>
      <c r="H745" t="str">
        <f t="shared" si="302"/>
        <v>圖書 book</v>
      </c>
      <c r="I745" t="str">
        <f>("QA76.73 D117 1999")</f>
        <v>QA76.73 D117 1999</v>
      </c>
      <c r="J745" t="str">
        <f>("0471327190")</f>
        <v>0471327190</v>
      </c>
      <c r="K745" t="str">
        <f>("784")</f>
        <v>784</v>
      </c>
      <c r="L745" t="str">
        <f t="shared" si="299"/>
        <v>2001/10/10 00:00:00</v>
      </c>
      <c r="M745" t="str">
        <f t="shared" si="309"/>
        <v>2018/08/11 13:34:48</v>
      </c>
      <c r="N745" t="str">
        <f>("1999")</f>
        <v>1999</v>
      </c>
      <c r="O745" t="str">
        <f t="shared" si="305"/>
        <v>4F西文書庫 4F Western Language Books</v>
      </c>
      <c r="P745" t="s">
        <v>64</v>
      </c>
      <c r="W745" t="str">
        <f t="shared" si="288"/>
        <v>美國國會圖書分類法</v>
      </c>
      <c r="Y745" t="str">
        <f>("QA76.73")</f>
        <v>QA76.73</v>
      </c>
      <c r="Z745" t="str">
        <f t="shared" si="310"/>
        <v>2018/08/11 13:34:48</v>
      </c>
      <c r="AA745" t="str">
        <f t="shared" si="296"/>
        <v>catc</v>
      </c>
      <c r="AC745" t="str">
        <f>("D117")</f>
        <v>D117</v>
      </c>
      <c r="AE745" t="str">
        <f t="shared" si="307"/>
        <v>c.1</v>
      </c>
      <c r="AF745" t="str">
        <f t="shared" si="308"/>
        <v>1.可借圖書</v>
      </c>
      <c r="AG745" t="str">
        <f t="shared" si="306"/>
        <v>在架</v>
      </c>
      <c r="AI745" t="s">
        <v>65</v>
      </c>
      <c r="AK745" t="str">
        <f t="shared" si="297"/>
        <v>一般(Normal)</v>
      </c>
      <c r="AO745" t="s">
        <v>65</v>
      </c>
      <c r="AS745" t="str">
        <f>("c1999. ")</f>
        <v xml:space="preserve">c1999. </v>
      </c>
      <c r="AT745" t="str">
        <f t="shared" si="298"/>
        <v>catc</v>
      </c>
    </row>
    <row r="746" spans="1:46" x14ac:dyDescent="0.25">
      <c r="A746">
        <v>735</v>
      </c>
      <c r="B746" t="str">
        <f>("289575")</f>
        <v>289575</v>
      </c>
      <c r="C746" t="str">
        <f>("W00002771")</f>
        <v>W00002771</v>
      </c>
      <c r="D746" t="str">
        <f>("Understanding SOAP / ")</f>
        <v xml:space="preserve">Understanding SOAP / </v>
      </c>
      <c r="E746" t="str">
        <f>("Scribner, Kenn. ")</f>
        <v xml:space="preserve">Scribner, Kenn. </v>
      </c>
      <c r="F746" t="str">
        <f>("Sams, ")</f>
        <v xml:space="preserve">Sams, </v>
      </c>
      <c r="G746" t="str">
        <f>("1st ed. ")</f>
        <v xml:space="preserve">1st ed. </v>
      </c>
      <c r="H746" t="str">
        <f t="shared" si="302"/>
        <v>圖書 book</v>
      </c>
      <c r="I746" t="str">
        <f>("QA76.76 S434 2000")</f>
        <v>QA76.76 S434 2000</v>
      </c>
      <c r="J746" t="str">
        <f>("0672319225")</f>
        <v>0672319225</v>
      </c>
      <c r="K746" t="str">
        <f>("1120")</f>
        <v>1120</v>
      </c>
      <c r="L746" t="str">
        <f t="shared" si="299"/>
        <v>2001/10/10 00:00:00</v>
      </c>
      <c r="M746" t="str">
        <f t="shared" si="309"/>
        <v>2018/08/11 13:34:48</v>
      </c>
      <c r="N746" t="str">
        <f>("2000")</f>
        <v>2000</v>
      </c>
      <c r="O746" t="str">
        <f t="shared" si="305"/>
        <v>4F西文書庫 4F Western Language Books</v>
      </c>
      <c r="P746" t="s">
        <v>64</v>
      </c>
      <c r="W746" t="str">
        <f t="shared" si="288"/>
        <v>美國國會圖書分類法</v>
      </c>
      <c r="Y746" t="str">
        <f>("QA76.76")</f>
        <v>QA76.76</v>
      </c>
      <c r="Z746" t="str">
        <f t="shared" si="310"/>
        <v>2018/08/11 13:34:48</v>
      </c>
      <c r="AA746" t="str">
        <f t="shared" si="296"/>
        <v>catc</v>
      </c>
      <c r="AC746" t="str">
        <f>("S434")</f>
        <v>S434</v>
      </c>
      <c r="AE746" t="str">
        <f t="shared" si="307"/>
        <v>c.1</v>
      </c>
      <c r="AF746" t="str">
        <f t="shared" si="308"/>
        <v>1.可借圖書</v>
      </c>
      <c r="AG746" t="str">
        <f t="shared" si="306"/>
        <v>在架</v>
      </c>
      <c r="AI746" t="s">
        <v>65</v>
      </c>
      <c r="AK746" t="str">
        <f t="shared" si="297"/>
        <v>一般(Normal)</v>
      </c>
      <c r="AO746" t="s">
        <v>65</v>
      </c>
      <c r="AS746" t="str">
        <f>("c2000. ")</f>
        <v xml:space="preserve">c2000. </v>
      </c>
      <c r="AT746" t="str">
        <f t="shared" si="298"/>
        <v>catc</v>
      </c>
    </row>
    <row r="747" spans="1:46" x14ac:dyDescent="0.25">
      <c r="A747">
        <v>736</v>
      </c>
      <c r="B747" t="str">
        <f>("289576")</f>
        <v>289576</v>
      </c>
      <c r="C747" t="str">
        <f>("W00002772")</f>
        <v>W00002772</v>
      </c>
      <c r="D747" t="str">
        <f>("OpenGL SuperBible / ")</f>
        <v xml:space="preserve">OpenGL SuperBible / </v>
      </c>
      <c r="E747" t="str">
        <f>("Wright, Richard S., 1965- ")</f>
        <v xml:space="preserve">Wright, Richard S., 1965- </v>
      </c>
      <c r="F747" t="str">
        <f>("Waite Group Press, ")</f>
        <v xml:space="preserve">Waite Group Press, </v>
      </c>
      <c r="G747" t="str">
        <f>("2nd ed. ")</f>
        <v xml:space="preserve">2nd ed. </v>
      </c>
      <c r="H747" t="str">
        <f t="shared" si="302"/>
        <v>圖書 book</v>
      </c>
      <c r="I747" t="str">
        <f>("T385 W947 2000")</f>
        <v>T385 W947 2000</v>
      </c>
      <c r="J747" t="str">
        <f>("1571691642")</f>
        <v>1571691642</v>
      </c>
      <c r="K747" t="str">
        <f>("1400")</f>
        <v>1400</v>
      </c>
      <c r="L747" t="str">
        <f t="shared" si="299"/>
        <v>2001/10/10 00:00:00</v>
      </c>
      <c r="M747" t="str">
        <f t="shared" si="309"/>
        <v>2018/08/11 13:34:48</v>
      </c>
      <c r="N747" t="str">
        <f>("2000")</f>
        <v>2000</v>
      </c>
      <c r="O747" t="str">
        <f t="shared" si="305"/>
        <v>4F西文書庫 4F Western Language Books</v>
      </c>
      <c r="P747" t="s">
        <v>64</v>
      </c>
      <c r="W747" t="str">
        <f t="shared" si="288"/>
        <v>美國國會圖書分類法</v>
      </c>
      <c r="Y747" t="str">
        <f>("T385")</f>
        <v>T385</v>
      </c>
      <c r="Z747" t="str">
        <f t="shared" si="310"/>
        <v>2018/08/11 13:34:48</v>
      </c>
      <c r="AA747" t="str">
        <f t="shared" si="296"/>
        <v>catc</v>
      </c>
      <c r="AC747" t="str">
        <f>("W947")</f>
        <v>W947</v>
      </c>
      <c r="AE747" t="str">
        <f t="shared" si="307"/>
        <v>c.1</v>
      </c>
      <c r="AF747" t="str">
        <f t="shared" si="308"/>
        <v>1.可借圖書</v>
      </c>
      <c r="AG747" t="str">
        <f t="shared" si="306"/>
        <v>在架</v>
      </c>
      <c r="AI747" t="s">
        <v>65</v>
      </c>
      <c r="AK747" t="str">
        <f t="shared" si="297"/>
        <v>一般(Normal)</v>
      </c>
      <c r="AO747" t="s">
        <v>65</v>
      </c>
      <c r="AS747" t="str">
        <f>("c2000. ")</f>
        <v xml:space="preserve">c2000. </v>
      </c>
      <c r="AT747" t="str">
        <f t="shared" si="298"/>
        <v>catc</v>
      </c>
    </row>
    <row r="748" spans="1:46" x14ac:dyDescent="0.25">
      <c r="A748">
        <v>737</v>
      </c>
      <c r="B748" t="str">
        <f>("289577")</f>
        <v>289577</v>
      </c>
      <c r="C748" t="str">
        <f>("W00002773")</f>
        <v>W00002773</v>
      </c>
      <c r="D748" t="str">
        <f>("SanFrancisco design patterns : blueprints for business software / ")</f>
        <v xml:space="preserve">SanFrancisco design patterns : blueprints for business software / </v>
      </c>
      <c r="E748" t="str">
        <f>("Carey, James, 1962- ")</f>
        <v xml:space="preserve">Carey, James, 1962- </v>
      </c>
      <c r="F748" t="str">
        <f>("Addison-Wesley, ")</f>
        <v xml:space="preserve">Addison-Wesley, </v>
      </c>
      <c r="H748" t="str">
        <f t="shared" si="302"/>
        <v>圖書 book</v>
      </c>
      <c r="I748" t="str">
        <f>("QA76.9.O35 C273 2000")</f>
        <v>QA76.9.O35 C273 2000</v>
      </c>
      <c r="J748" t="str">
        <f>("0201616440")</f>
        <v>0201616440</v>
      </c>
      <c r="K748" t="str">
        <f>("1264")</f>
        <v>1264</v>
      </c>
      <c r="L748" t="str">
        <f t="shared" si="299"/>
        <v>2001/10/10 00:00:00</v>
      </c>
      <c r="M748" t="str">
        <f t="shared" si="309"/>
        <v>2018/08/11 13:34:48</v>
      </c>
      <c r="N748" t="str">
        <f>("2000")</f>
        <v>2000</v>
      </c>
      <c r="O748" t="str">
        <f t="shared" si="305"/>
        <v>4F西文書庫 4F Western Language Books</v>
      </c>
      <c r="P748" t="s">
        <v>64</v>
      </c>
      <c r="W748" t="str">
        <f t="shared" si="288"/>
        <v>美國國會圖書分類法</v>
      </c>
      <c r="Y748" t="str">
        <f>("QA76.9.O35")</f>
        <v>QA76.9.O35</v>
      </c>
      <c r="Z748" t="str">
        <f t="shared" si="310"/>
        <v>2018/08/11 13:34:48</v>
      </c>
      <c r="AA748" t="str">
        <f t="shared" si="296"/>
        <v>catc</v>
      </c>
      <c r="AC748" t="str">
        <f>("C273")</f>
        <v>C273</v>
      </c>
      <c r="AE748" t="str">
        <f t="shared" si="307"/>
        <v>c.1</v>
      </c>
      <c r="AF748" t="str">
        <f t="shared" si="308"/>
        <v>1.可借圖書</v>
      </c>
      <c r="AG748" t="str">
        <f t="shared" si="306"/>
        <v>在架</v>
      </c>
      <c r="AI748" t="s">
        <v>65</v>
      </c>
      <c r="AK748" t="str">
        <f t="shared" si="297"/>
        <v>一般(Normal)</v>
      </c>
      <c r="AO748" t="s">
        <v>65</v>
      </c>
      <c r="AS748" t="str">
        <f>("c2000. ")</f>
        <v xml:space="preserve">c2000. </v>
      </c>
      <c r="AT748" t="str">
        <f t="shared" si="298"/>
        <v>catc</v>
      </c>
    </row>
    <row r="749" spans="1:46" x14ac:dyDescent="0.25">
      <c r="A749">
        <v>738</v>
      </c>
      <c r="B749" t="str">
        <f>("289578")</f>
        <v>289578</v>
      </c>
      <c r="C749" t="str">
        <f>("W00002774")</f>
        <v>W00002774</v>
      </c>
      <c r="D749" t="str">
        <f>("Developing ASP components / ")</f>
        <v xml:space="preserve">Developing ASP components / </v>
      </c>
      <c r="E749" t="str">
        <f>("Powers, Shelley. ")</f>
        <v xml:space="preserve">Powers, Shelley. </v>
      </c>
      <c r="F749" t="str">
        <f>("O'Reilly, ")</f>
        <v xml:space="preserve">O'Reilly, </v>
      </c>
      <c r="H749" t="str">
        <f t="shared" si="302"/>
        <v>圖書 book</v>
      </c>
      <c r="I749" t="str">
        <f>("TK5105.8885 P888 1999")</f>
        <v>TK5105.8885 P888 1999</v>
      </c>
      <c r="J749" t="str">
        <f>("1565924460")</f>
        <v>1565924460</v>
      </c>
      <c r="K749" t="str">
        <f>("840")</f>
        <v>840</v>
      </c>
      <c r="L749" t="str">
        <f t="shared" si="299"/>
        <v>2001/10/10 00:00:00</v>
      </c>
      <c r="M749" t="str">
        <f t="shared" si="309"/>
        <v>2018/08/11 13:34:48</v>
      </c>
      <c r="N749" t="str">
        <f>("1999")</f>
        <v>1999</v>
      </c>
      <c r="O749" t="str">
        <f t="shared" si="305"/>
        <v>4F西文書庫 4F Western Language Books</v>
      </c>
      <c r="P749" t="s">
        <v>64</v>
      </c>
      <c r="W749" t="str">
        <f t="shared" si="288"/>
        <v>美國國會圖書分類法</v>
      </c>
      <c r="Y749" t="str">
        <f>("TK5105.8885")</f>
        <v>TK5105.8885</v>
      </c>
      <c r="Z749" t="str">
        <f t="shared" si="310"/>
        <v>2018/08/11 13:34:48</v>
      </c>
      <c r="AA749" t="str">
        <f t="shared" si="296"/>
        <v>catc</v>
      </c>
      <c r="AC749" t="str">
        <f>("P888")</f>
        <v>P888</v>
      </c>
      <c r="AE749" t="str">
        <f t="shared" si="307"/>
        <v>c.1</v>
      </c>
      <c r="AF749" t="str">
        <f t="shared" si="308"/>
        <v>1.可借圖書</v>
      </c>
      <c r="AG749" t="str">
        <f t="shared" si="306"/>
        <v>在架</v>
      </c>
      <c r="AI749" t="s">
        <v>65</v>
      </c>
      <c r="AK749" t="str">
        <f t="shared" si="297"/>
        <v>一般(Normal)</v>
      </c>
      <c r="AO749" t="s">
        <v>65</v>
      </c>
      <c r="AS749" t="str">
        <f>("c1999. ")</f>
        <v xml:space="preserve">c1999. </v>
      </c>
      <c r="AT749" t="str">
        <f t="shared" si="298"/>
        <v>catc</v>
      </c>
    </row>
    <row r="750" spans="1:46" x14ac:dyDescent="0.25">
      <c r="A750">
        <v>739</v>
      </c>
      <c r="B750" t="str">
        <f>("289579")</f>
        <v>289579</v>
      </c>
      <c r="C750" t="str">
        <f>("W00002775")</f>
        <v>W00002775</v>
      </c>
      <c r="D750" t="str">
        <f>("Instant Perl modules / ")</f>
        <v xml:space="preserve">Instant Perl modules / </v>
      </c>
      <c r="E750" t="str">
        <f>("Sparling, Douglas. ")</f>
        <v xml:space="preserve">Sparling, Douglas. </v>
      </c>
      <c r="F750" t="str">
        <f>("Osborne/McGraw-Hill, ")</f>
        <v xml:space="preserve">Osborne/McGraw-Hill, </v>
      </c>
      <c r="H750" t="str">
        <f t="shared" si="302"/>
        <v>圖書 book</v>
      </c>
      <c r="I750" t="str">
        <f>("QA76.73 S736 2001")</f>
        <v>QA76.73 S736 2001</v>
      </c>
      <c r="J750" t="str">
        <f>("007212962X")</f>
        <v>007212962X</v>
      </c>
      <c r="K750" t="str">
        <f>("1400")</f>
        <v>1400</v>
      </c>
      <c r="L750" t="str">
        <f t="shared" si="299"/>
        <v>2001/10/10 00:00:00</v>
      </c>
      <c r="M750" t="str">
        <f t="shared" si="309"/>
        <v>2018/08/11 13:34:48</v>
      </c>
      <c r="N750" t="str">
        <f>("2001")</f>
        <v>2001</v>
      </c>
      <c r="O750" t="str">
        <f t="shared" si="305"/>
        <v>4F西文書庫 4F Western Language Books</v>
      </c>
      <c r="P750" t="s">
        <v>64</v>
      </c>
      <c r="W750" t="str">
        <f t="shared" si="288"/>
        <v>美國國會圖書分類法</v>
      </c>
      <c r="Y750" t="str">
        <f>("QA76.73")</f>
        <v>QA76.73</v>
      </c>
      <c r="Z750" t="str">
        <f t="shared" si="310"/>
        <v>2018/08/11 13:34:48</v>
      </c>
      <c r="AA750" t="str">
        <f t="shared" si="296"/>
        <v>catc</v>
      </c>
      <c r="AC750" t="str">
        <f>("S736")</f>
        <v>S736</v>
      </c>
      <c r="AE750" t="str">
        <f t="shared" si="307"/>
        <v>c.1</v>
      </c>
      <c r="AF750" t="str">
        <f t="shared" si="308"/>
        <v>1.可借圖書</v>
      </c>
      <c r="AG750" t="str">
        <f t="shared" si="306"/>
        <v>在架</v>
      </c>
      <c r="AI750" t="s">
        <v>65</v>
      </c>
      <c r="AK750" t="str">
        <f t="shared" si="297"/>
        <v>一般(Normal)</v>
      </c>
      <c r="AO750" t="s">
        <v>65</v>
      </c>
      <c r="AS750" t="str">
        <f>("2001. ")</f>
        <v xml:space="preserve">2001. </v>
      </c>
      <c r="AT750" t="str">
        <f t="shared" si="298"/>
        <v>catc</v>
      </c>
    </row>
    <row r="751" spans="1:46" x14ac:dyDescent="0.25">
      <c r="A751">
        <v>740</v>
      </c>
      <c r="B751" t="str">
        <f>("289580")</f>
        <v>289580</v>
      </c>
      <c r="C751" t="str">
        <f>("W00002776")</f>
        <v>W00002776</v>
      </c>
      <c r="D751" t="str">
        <f>("Firewalls : a complete guide / ")</f>
        <v xml:space="preserve">Firewalls : a complete guide / </v>
      </c>
      <c r="E751" t="str">
        <f>("Goncalves, Marcus. ")</f>
        <v xml:space="preserve">Goncalves, Marcus. </v>
      </c>
      <c r="F751" t="str">
        <f>("McGraw-Hill, ")</f>
        <v xml:space="preserve">McGraw-Hill, </v>
      </c>
      <c r="H751" t="str">
        <f t="shared" si="302"/>
        <v>圖書 book</v>
      </c>
      <c r="I751" t="str">
        <f>("TK5105.59 G635 2000")</f>
        <v>TK5105.59 G635 2000</v>
      </c>
      <c r="J751" t="str">
        <f>("0071356398")</f>
        <v>0071356398</v>
      </c>
      <c r="K751" t="str">
        <f>("1498")</f>
        <v>1498</v>
      </c>
      <c r="L751" t="str">
        <f t="shared" si="299"/>
        <v>2001/10/10 00:00:00</v>
      </c>
      <c r="M751" t="str">
        <f t="shared" si="309"/>
        <v>2018/08/11 13:34:48</v>
      </c>
      <c r="N751" t="str">
        <f>("2000")</f>
        <v>2000</v>
      </c>
      <c r="O751" t="str">
        <f t="shared" si="305"/>
        <v>4F西文書庫 4F Western Language Books</v>
      </c>
      <c r="P751" t="s">
        <v>64</v>
      </c>
      <c r="W751" t="str">
        <f t="shared" si="288"/>
        <v>美國國會圖書分類法</v>
      </c>
      <c r="Y751" t="str">
        <f>("TK5105.59")</f>
        <v>TK5105.59</v>
      </c>
      <c r="Z751" t="str">
        <f t="shared" si="310"/>
        <v>2018/08/11 13:34:48</v>
      </c>
      <c r="AA751" t="str">
        <f t="shared" si="296"/>
        <v>catc</v>
      </c>
      <c r="AC751" t="str">
        <f>("G635")</f>
        <v>G635</v>
      </c>
      <c r="AE751" t="str">
        <f t="shared" si="307"/>
        <v>c.1</v>
      </c>
      <c r="AF751" t="str">
        <f t="shared" si="308"/>
        <v>1.可借圖書</v>
      </c>
      <c r="AG751" t="str">
        <f t="shared" si="306"/>
        <v>在架</v>
      </c>
      <c r="AI751" t="s">
        <v>65</v>
      </c>
      <c r="AK751" t="str">
        <f t="shared" si="297"/>
        <v>一般(Normal)</v>
      </c>
      <c r="AO751" t="s">
        <v>65</v>
      </c>
      <c r="AS751" t="str">
        <f>("c2000. ")</f>
        <v xml:space="preserve">c2000. </v>
      </c>
      <c r="AT751" t="str">
        <f t="shared" si="298"/>
        <v>catc</v>
      </c>
    </row>
    <row r="752" spans="1:46" x14ac:dyDescent="0.25">
      <c r="A752">
        <v>741</v>
      </c>
      <c r="B752" t="str">
        <f>("289581")</f>
        <v>289581</v>
      </c>
      <c r="C752" t="str">
        <f>("W00002777")</f>
        <v>W00002777</v>
      </c>
      <c r="D752" t="str">
        <f>("Building database applications on the web using PHP3 : complete with step-by-step demonstrations / ")</f>
        <v xml:space="preserve">Building database applications on the web using PHP3 : complete with step-by-step demonstrations / </v>
      </c>
      <c r="E752" t="str">
        <f>("Hilton, Craig, 1949- ")</f>
        <v xml:space="preserve">Hilton, Craig, 1949- </v>
      </c>
      <c r="F752" t="str">
        <f>("Addison-Wesley, ")</f>
        <v xml:space="preserve">Addison-Wesley, </v>
      </c>
      <c r="H752" t="str">
        <f t="shared" si="302"/>
        <v>圖書 book</v>
      </c>
      <c r="I752" t="str">
        <f>("QA76.9 H656 2000")</f>
        <v>QA76.9 H656 2000</v>
      </c>
      <c r="J752" t="str">
        <f>("0201657716")</f>
        <v>0201657716</v>
      </c>
      <c r="K752" t="str">
        <f>("1120")</f>
        <v>1120</v>
      </c>
      <c r="L752" t="str">
        <f t="shared" si="299"/>
        <v>2001/10/10 00:00:00</v>
      </c>
      <c r="M752" t="str">
        <f t="shared" si="309"/>
        <v>2018/08/11 13:34:48</v>
      </c>
      <c r="N752" t="str">
        <f>("2000")</f>
        <v>2000</v>
      </c>
      <c r="O752" t="str">
        <f t="shared" si="305"/>
        <v>4F西文書庫 4F Western Language Books</v>
      </c>
      <c r="P752" t="s">
        <v>64</v>
      </c>
      <c r="W752" t="str">
        <f t="shared" si="288"/>
        <v>美國國會圖書分類法</v>
      </c>
      <c r="Y752" t="str">
        <f>("QA76.9")</f>
        <v>QA76.9</v>
      </c>
      <c r="Z752" t="str">
        <f t="shared" si="310"/>
        <v>2018/08/11 13:34:48</v>
      </c>
      <c r="AA752" t="str">
        <f t="shared" si="296"/>
        <v>catc</v>
      </c>
      <c r="AC752" t="str">
        <f>("H656")</f>
        <v>H656</v>
      </c>
      <c r="AE752" t="str">
        <f t="shared" si="307"/>
        <v>c.1</v>
      </c>
      <c r="AF752" t="str">
        <f t="shared" si="308"/>
        <v>1.可借圖書</v>
      </c>
      <c r="AG752" t="str">
        <f t="shared" si="306"/>
        <v>在架</v>
      </c>
      <c r="AI752" t="s">
        <v>65</v>
      </c>
      <c r="AK752" t="str">
        <f t="shared" si="297"/>
        <v>一般(Normal)</v>
      </c>
      <c r="AO752" t="s">
        <v>65</v>
      </c>
      <c r="AS752" t="str">
        <f>("c2000. ")</f>
        <v xml:space="preserve">c2000. </v>
      </c>
      <c r="AT752" t="str">
        <f t="shared" si="298"/>
        <v>catc</v>
      </c>
    </row>
    <row r="753" spans="1:46" x14ac:dyDescent="0.25">
      <c r="A753">
        <v>742</v>
      </c>
      <c r="B753" t="str">
        <f>("289582")</f>
        <v>289582</v>
      </c>
      <c r="C753" t="str">
        <f>("W00002778")</f>
        <v>W00002778</v>
      </c>
      <c r="D753" t="str">
        <f>("Exchange 2000 server black book / ")</f>
        <v xml:space="preserve">Exchange 2000 server black book / </v>
      </c>
      <c r="E753" t="str">
        <f>("Goncalves, Marcus. ")</f>
        <v xml:space="preserve">Goncalves, Marcus. </v>
      </c>
      <c r="F753" t="str">
        <f>("Coriolis, ")</f>
        <v xml:space="preserve">Coriolis, </v>
      </c>
      <c r="H753" t="str">
        <f t="shared" si="302"/>
        <v>圖書 book</v>
      </c>
      <c r="I753" t="str">
        <f>("QA76.9 G635 2000")</f>
        <v>QA76.9 G635 2000</v>
      </c>
      <c r="J753" t="str">
        <f>("1576106411")</f>
        <v>1576106411</v>
      </c>
      <c r="K753" t="str">
        <f>("1400")</f>
        <v>1400</v>
      </c>
      <c r="L753" t="str">
        <f t="shared" si="299"/>
        <v>2001/10/10 00:00:00</v>
      </c>
      <c r="M753" t="str">
        <f t="shared" si="309"/>
        <v>2018/08/11 13:34:48</v>
      </c>
      <c r="N753" t="str">
        <f>("2000")</f>
        <v>2000</v>
      </c>
      <c r="O753" t="str">
        <f t="shared" si="305"/>
        <v>4F西文書庫 4F Western Language Books</v>
      </c>
      <c r="P753" t="s">
        <v>64</v>
      </c>
      <c r="W753" t="str">
        <f t="shared" si="288"/>
        <v>美國國會圖書分類法</v>
      </c>
      <c r="Y753" t="str">
        <f>("QA76.9")</f>
        <v>QA76.9</v>
      </c>
      <c r="Z753" t="str">
        <f t="shared" si="310"/>
        <v>2018/08/11 13:34:48</v>
      </c>
      <c r="AA753" t="str">
        <f t="shared" si="296"/>
        <v>catc</v>
      </c>
      <c r="AC753" t="str">
        <f>("G635")</f>
        <v>G635</v>
      </c>
      <c r="AE753" t="str">
        <f t="shared" si="307"/>
        <v>c.1</v>
      </c>
      <c r="AF753" t="str">
        <f t="shared" si="308"/>
        <v>1.可借圖書</v>
      </c>
      <c r="AG753" t="str">
        <f t="shared" si="306"/>
        <v>在架</v>
      </c>
      <c r="AI753" t="s">
        <v>65</v>
      </c>
      <c r="AK753" t="str">
        <f t="shared" si="297"/>
        <v>一般(Normal)</v>
      </c>
      <c r="AO753" t="s">
        <v>65</v>
      </c>
      <c r="AS753" t="str">
        <f>("c2000. ")</f>
        <v xml:space="preserve">c2000. </v>
      </c>
      <c r="AT753" t="str">
        <f t="shared" si="298"/>
        <v>catc</v>
      </c>
    </row>
    <row r="754" spans="1:46" x14ac:dyDescent="0.25">
      <c r="A754">
        <v>743</v>
      </c>
      <c r="B754" t="str">
        <f>("289583")</f>
        <v>289583</v>
      </c>
      <c r="C754" t="str">
        <f>("W00002779")</f>
        <v>W00002779</v>
      </c>
      <c r="D754" t="str">
        <f>("The X Resource Issue Seventeen")</f>
        <v>The X Resource Issue Seventeen</v>
      </c>
      <c r="E754" t="str">
        <f>("San Jose")</f>
        <v>San Jose</v>
      </c>
      <c r="F754" t="str">
        <f>("O'Reill and Associates, ")</f>
        <v xml:space="preserve">O'Reill and Associates, </v>
      </c>
      <c r="H754" t="str">
        <f t="shared" si="302"/>
        <v>圖書 book</v>
      </c>
      <c r="I754" t="str">
        <f>("TK5105.8885 S194 2000")</f>
        <v>TK5105.8885 S194 2000</v>
      </c>
      <c r="J754" t="str">
        <f>("156592178X")</f>
        <v>156592178X</v>
      </c>
      <c r="K754" t="str">
        <f>("336")</f>
        <v>336</v>
      </c>
      <c r="L754" t="str">
        <f t="shared" si="299"/>
        <v>2001/10/10 00:00:00</v>
      </c>
      <c r="M754" t="str">
        <f t="shared" ref="M754:M763" si="311">("2018/08/11 13:34:49")</f>
        <v>2018/08/11 13:34:49</v>
      </c>
      <c r="N754" t="str">
        <f>("2000")</f>
        <v>2000</v>
      </c>
      <c r="O754" t="str">
        <f t="shared" si="305"/>
        <v>4F西文書庫 4F Western Language Books</v>
      </c>
      <c r="P754" t="s">
        <v>64</v>
      </c>
      <c r="W754" t="str">
        <f t="shared" si="288"/>
        <v>美國國會圖書分類法</v>
      </c>
      <c r="Y754" t="str">
        <f>("TK5105.8885")</f>
        <v>TK5105.8885</v>
      </c>
      <c r="Z754" t="str">
        <f t="shared" ref="Z754:Z763" si="312">("2018/08/11 13:34:49")</f>
        <v>2018/08/11 13:34:49</v>
      </c>
      <c r="AA754" t="str">
        <f t="shared" si="296"/>
        <v>catc</v>
      </c>
      <c r="AC754" t="str">
        <f>("S194")</f>
        <v>S194</v>
      </c>
      <c r="AE754" t="str">
        <f t="shared" si="307"/>
        <v>c.1</v>
      </c>
      <c r="AF754" t="str">
        <f t="shared" si="308"/>
        <v>1.可借圖書</v>
      </c>
      <c r="AG754" t="str">
        <f t="shared" si="306"/>
        <v>在架</v>
      </c>
      <c r="AI754" t="s">
        <v>65</v>
      </c>
      <c r="AK754" t="str">
        <f t="shared" si="297"/>
        <v>一般(Normal)</v>
      </c>
      <c r="AO754" t="s">
        <v>65</v>
      </c>
      <c r="AS754" t="str">
        <f>("2000.")</f>
        <v>2000.</v>
      </c>
      <c r="AT754" t="str">
        <f t="shared" si="298"/>
        <v>catc</v>
      </c>
    </row>
    <row r="755" spans="1:46" x14ac:dyDescent="0.25">
      <c r="A755">
        <v>744</v>
      </c>
      <c r="B755" t="str">
        <f>("289584")</f>
        <v>289584</v>
      </c>
      <c r="C755" t="str">
        <f>("W00002780")</f>
        <v>W00002780</v>
      </c>
      <c r="D755" t="str">
        <f>("Oracle SQL high-performance tuning / ")</f>
        <v xml:space="preserve">Oracle SQL high-performance tuning / </v>
      </c>
      <c r="E755" t="str">
        <f>("Harrison, Guy. ")</f>
        <v xml:space="preserve">Harrison, Guy. </v>
      </c>
      <c r="F755" t="str">
        <f>("Prentice Hall PTR, ")</f>
        <v xml:space="preserve">Prentice Hall PTR, </v>
      </c>
      <c r="G755" t="str">
        <f>("2nd ed. ")</f>
        <v xml:space="preserve">2nd ed. </v>
      </c>
      <c r="H755" t="str">
        <f t="shared" si="302"/>
        <v>圖書 book</v>
      </c>
      <c r="I755" t="str">
        <f>("TK5105.8885 H318 2001")</f>
        <v>TK5105.8885 H318 2001</v>
      </c>
      <c r="J755" t="str">
        <f>("0130123811")</f>
        <v>0130123811</v>
      </c>
      <c r="K755" t="str">
        <f>("1400")</f>
        <v>1400</v>
      </c>
      <c r="L755" t="str">
        <f t="shared" si="299"/>
        <v>2001/10/10 00:00:00</v>
      </c>
      <c r="M755" t="str">
        <f t="shared" si="311"/>
        <v>2018/08/11 13:34:49</v>
      </c>
      <c r="N755" t="str">
        <f>("2001")</f>
        <v>2001</v>
      </c>
      <c r="O755" t="str">
        <f t="shared" si="305"/>
        <v>4F西文書庫 4F Western Language Books</v>
      </c>
      <c r="P755" t="s">
        <v>64</v>
      </c>
      <c r="W755" t="str">
        <f t="shared" si="288"/>
        <v>美國國會圖書分類法</v>
      </c>
      <c r="Y755" t="str">
        <f>("TK5105.8885")</f>
        <v>TK5105.8885</v>
      </c>
      <c r="Z755" t="str">
        <f t="shared" si="312"/>
        <v>2018/08/11 13:34:49</v>
      </c>
      <c r="AA755" t="str">
        <f t="shared" si="296"/>
        <v>catc</v>
      </c>
      <c r="AC755" t="str">
        <f>("H318")</f>
        <v>H318</v>
      </c>
      <c r="AE755" t="str">
        <f t="shared" si="307"/>
        <v>c.1</v>
      </c>
      <c r="AF755" t="str">
        <f t="shared" si="308"/>
        <v>1.可借圖書</v>
      </c>
      <c r="AG755" t="str">
        <f t="shared" si="306"/>
        <v>在架</v>
      </c>
      <c r="AI755" t="s">
        <v>65</v>
      </c>
      <c r="AK755" t="str">
        <f t="shared" si="297"/>
        <v>一般(Normal)</v>
      </c>
      <c r="AO755" t="s">
        <v>65</v>
      </c>
      <c r="AS755" t="str">
        <f>("c2001. ")</f>
        <v xml:space="preserve">c2001. </v>
      </c>
      <c r="AT755" t="str">
        <f t="shared" si="298"/>
        <v>catc</v>
      </c>
    </row>
    <row r="756" spans="1:46" x14ac:dyDescent="0.25">
      <c r="A756">
        <v>745</v>
      </c>
      <c r="B756" t="str">
        <f>("289585")</f>
        <v>289585</v>
      </c>
      <c r="C756" t="str">
        <f>("W00002781")</f>
        <v>W00002781</v>
      </c>
      <c r="D756" t="str">
        <f>("Essential system requirements : a practical guide to event-driven methods / ")</f>
        <v xml:space="preserve">Essential system requirements : a practical guide to event-driven methods / </v>
      </c>
      <c r="E756" t="str">
        <f>("Wiley, Bill, 1942- ")</f>
        <v xml:space="preserve">Wiley, Bill, 1942- </v>
      </c>
      <c r="F756" t="str">
        <f>("Addison-Wesley, ")</f>
        <v xml:space="preserve">Addison-Wesley, </v>
      </c>
      <c r="H756" t="str">
        <f t="shared" si="302"/>
        <v>圖書 book</v>
      </c>
      <c r="I756" t="str">
        <f>("QA76.9 W676 2000")</f>
        <v>QA76.9 W676 2000</v>
      </c>
      <c r="J756" t="str">
        <f>("0201616068")</f>
        <v>0201616068</v>
      </c>
      <c r="K756" t="str">
        <f>("984")</f>
        <v>984</v>
      </c>
      <c r="L756" t="str">
        <f t="shared" si="299"/>
        <v>2001/10/10 00:00:00</v>
      </c>
      <c r="M756" t="str">
        <f t="shared" si="311"/>
        <v>2018/08/11 13:34:49</v>
      </c>
      <c r="N756" t="str">
        <f>("2000")</f>
        <v>2000</v>
      </c>
      <c r="O756" t="str">
        <f t="shared" si="305"/>
        <v>4F西文書庫 4F Western Language Books</v>
      </c>
      <c r="P756" t="s">
        <v>64</v>
      </c>
      <c r="W756" t="str">
        <f t="shared" si="288"/>
        <v>美國國會圖書分類法</v>
      </c>
      <c r="Y756" t="str">
        <f>("QA76.9")</f>
        <v>QA76.9</v>
      </c>
      <c r="Z756" t="str">
        <f t="shared" si="312"/>
        <v>2018/08/11 13:34:49</v>
      </c>
      <c r="AA756" t="str">
        <f t="shared" si="296"/>
        <v>catc</v>
      </c>
      <c r="AC756" t="str">
        <f>("W676")</f>
        <v>W676</v>
      </c>
      <c r="AE756" t="str">
        <f t="shared" si="307"/>
        <v>c.1</v>
      </c>
      <c r="AF756" t="str">
        <f t="shared" si="308"/>
        <v>1.可借圖書</v>
      </c>
      <c r="AG756" t="str">
        <f t="shared" si="306"/>
        <v>在架</v>
      </c>
      <c r="AI756" t="s">
        <v>65</v>
      </c>
      <c r="AK756" t="str">
        <f t="shared" si="297"/>
        <v>一般(Normal)</v>
      </c>
      <c r="AO756" t="s">
        <v>65</v>
      </c>
      <c r="AS756" t="str">
        <f>("c2000. ")</f>
        <v xml:space="preserve">c2000. </v>
      </c>
      <c r="AT756" t="str">
        <f t="shared" si="298"/>
        <v>catc</v>
      </c>
    </row>
    <row r="757" spans="1:46" x14ac:dyDescent="0.25">
      <c r="A757">
        <v>746</v>
      </c>
      <c r="B757" t="str">
        <f>("289601")</f>
        <v>289601</v>
      </c>
      <c r="C757" t="str">
        <f>("W00002782")</f>
        <v>W00002782</v>
      </c>
      <c r="D757" t="str">
        <f>("Policy routing using Linux / ")</f>
        <v xml:space="preserve">Policy routing using Linux / </v>
      </c>
      <c r="E757" t="str">
        <f>("Marsh, Matthew G. ")</f>
        <v xml:space="preserve">Marsh, Matthew G. </v>
      </c>
      <c r="F757" t="str">
        <f>("SAMS, ")</f>
        <v xml:space="preserve">SAMS, </v>
      </c>
      <c r="H757" t="str">
        <f t="shared" si="302"/>
        <v>圖書 book</v>
      </c>
      <c r="I757" t="str">
        <f>("TK5105.585 M365 2000")</f>
        <v>TK5105.585 M365 2000</v>
      </c>
      <c r="J757" t="str">
        <f>("0672320525")</f>
        <v>0672320525</v>
      </c>
      <c r="K757" t="str">
        <f>("1120")</f>
        <v>1120</v>
      </c>
      <c r="L757" t="str">
        <f t="shared" si="299"/>
        <v>2001/10/10 00:00:00</v>
      </c>
      <c r="M757" t="str">
        <f t="shared" si="311"/>
        <v>2018/08/11 13:34:49</v>
      </c>
      <c r="N757" t="str">
        <f>("2000")</f>
        <v>2000</v>
      </c>
      <c r="O757" t="str">
        <f t="shared" si="305"/>
        <v>4F西文書庫 4F Western Language Books</v>
      </c>
      <c r="P757" t="s">
        <v>64</v>
      </c>
      <c r="W757" t="str">
        <f t="shared" ref="W757:W820" si="313">("美國國會圖書分類法")</f>
        <v>美國國會圖書分類法</v>
      </c>
      <c r="Y757" t="str">
        <f>("TK5105.585")</f>
        <v>TK5105.585</v>
      </c>
      <c r="Z757" t="str">
        <f t="shared" si="312"/>
        <v>2018/08/11 13:34:49</v>
      </c>
      <c r="AA757" t="str">
        <f t="shared" si="296"/>
        <v>catc</v>
      </c>
      <c r="AC757" t="str">
        <f>("M365")</f>
        <v>M365</v>
      </c>
      <c r="AE757" t="str">
        <f t="shared" si="307"/>
        <v>c.1</v>
      </c>
      <c r="AF757" t="str">
        <f t="shared" si="308"/>
        <v>1.可借圖書</v>
      </c>
      <c r="AG757" t="str">
        <f t="shared" si="306"/>
        <v>在架</v>
      </c>
      <c r="AI757" t="s">
        <v>65</v>
      </c>
      <c r="AK757" t="str">
        <f t="shared" si="297"/>
        <v>一般(Normal)</v>
      </c>
      <c r="AO757" t="s">
        <v>65</v>
      </c>
      <c r="AS757" t="str">
        <f>("2001. ")</f>
        <v xml:space="preserve">2001. </v>
      </c>
      <c r="AT757" t="str">
        <f t="shared" si="298"/>
        <v>catc</v>
      </c>
    </row>
    <row r="758" spans="1:46" x14ac:dyDescent="0.25">
      <c r="A758">
        <v>747</v>
      </c>
      <c r="B758" t="str">
        <f>("289602")</f>
        <v>289602</v>
      </c>
      <c r="C758" t="str">
        <f>("W00002783")</f>
        <v>W00002783</v>
      </c>
      <c r="D758" t="str">
        <f>("SanFrancisco component framework : an introduction / ")</f>
        <v xml:space="preserve">SanFrancisco component framework : an introduction / </v>
      </c>
      <c r="E758" t="str">
        <f>("Monday, Paul. ")</f>
        <v xml:space="preserve">Monday, Paul. </v>
      </c>
      <c r="F758" t="str">
        <f>("Addison-Wesley, ")</f>
        <v xml:space="preserve">Addison-Wesley, </v>
      </c>
      <c r="H758" t="str">
        <f t="shared" si="302"/>
        <v>圖書 book</v>
      </c>
      <c r="I758" t="str">
        <f>("QA76.76 M741 2000")</f>
        <v>QA76.76 M741 2000</v>
      </c>
      <c r="J758" t="str">
        <f>("0201615878")</f>
        <v>0201615878</v>
      </c>
      <c r="K758" t="str">
        <f>("1264")</f>
        <v>1264</v>
      </c>
      <c r="L758" t="str">
        <f t="shared" si="299"/>
        <v>2001/10/10 00:00:00</v>
      </c>
      <c r="M758" t="str">
        <f t="shared" si="311"/>
        <v>2018/08/11 13:34:49</v>
      </c>
      <c r="N758" t="str">
        <f>("2000")</f>
        <v>2000</v>
      </c>
      <c r="O758" t="str">
        <f t="shared" si="305"/>
        <v>4F西文書庫 4F Western Language Books</v>
      </c>
      <c r="P758" t="s">
        <v>64</v>
      </c>
      <c r="W758" t="str">
        <f t="shared" si="313"/>
        <v>美國國會圖書分類法</v>
      </c>
      <c r="Y758" t="str">
        <f>("QA76.76")</f>
        <v>QA76.76</v>
      </c>
      <c r="Z758" t="str">
        <f t="shared" si="312"/>
        <v>2018/08/11 13:34:49</v>
      </c>
      <c r="AA758" t="str">
        <f t="shared" si="296"/>
        <v>catc</v>
      </c>
      <c r="AC758" t="str">
        <f>("M741")</f>
        <v>M741</v>
      </c>
      <c r="AE758" t="str">
        <f t="shared" si="307"/>
        <v>c.1</v>
      </c>
      <c r="AF758" t="str">
        <f t="shared" si="308"/>
        <v>1.可借圖書</v>
      </c>
      <c r="AG758" t="str">
        <f t="shared" si="306"/>
        <v>在架</v>
      </c>
      <c r="AI758" t="s">
        <v>65</v>
      </c>
      <c r="AK758" t="str">
        <f t="shared" si="297"/>
        <v>一般(Normal)</v>
      </c>
      <c r="AO758" t="s">
        <v>65</v>
      </c>
      <c r="AS758" t="str">
        <f>("2000. ")</f>
        <v xml:space="preserve">2000. </v>
      </c>
      <c r="AT758" t="str">
        <f t="shared" si="298"/>
        <v>catc</v>
      </c>
    </row>
    <row r="759" spans="1:46" x14ac:dyDescent="0.25">
      <c r="A759">
        <v>748</v>
      </c>
      <c r="B759" t="str">
        <f>("289603")</f>
        <v>289603</v>
      </c>
      <c r="C759" t="str">
        <f>("W00002784")</f>
        <v>W00002784</v>
      </c>
      <c r="D759" t="str">
        <f>("Instant Java servlets / ")</f>
        <v xml:space="preserve">Instant Java servlets / </v>
      </c>
      <c r="E759" t="str">
        <f>("Hanna, Phil. ")</f>
        <v xml:space="preserve">Hanna, Phil. </v>
      </c>
      <c r="F759" t="str">
        <f>("McGraw-Hill, ")</f>
        <v xml:space="preserve">McGraw-Hill, </v>
      </c>
      <c r="H759" t="str">
        <f t="shared" si="302"/>
        <v>圖書 book</v>
      </c>
      <c r="I759" t="str">
        <f>("QA76.73 H243 2000")</f>
        <v>QA76.73 H243 2000</v>
      </c>
      <c r="J759" t="str">
        <f>("0072124253")</f>
        <v>0072124253</v>
      </c>
      <c r="K759" t="str">
        <f>("1400")</f>
        <v>1400</v>
      </c>
      <c r="L759" t="str">
        <f t="shared" si="299"/>
        <v>2001/10/10 00:00:00</v>
      </c>
      <c r="M759" t="str">
        <f t="shared" si="311"/>
        <v>2018/08/11 13:34:49</v>
      </c>
      <c r="N759" t="str">
        <f>("2000")</f>
        <v>2000</v>
      </c>
      <c r="O759" t="str">
        <f t="shared" si="305"/>
        <v>4F西文書庫 4F Western Language Books</v>
      </c>
      <c r="P759" t="s">
        <v>64</v>
      </c>
      <c r="W759" t="str">
        <f t="shared" si="313"/>
        <v>美國國會圖書分類法</v>
      </c>
      <c r="Y759" t="str">
        <f>("QA76.73")</f>
        <v>QA76.73</v>
      </c>
      <c r="Z759" t="str">
        <f t="shared" si="312"/>
        <v>2018/08/11 13:34:49</v>
      </c>
      <c r="AA759" t="str">
        <f t="shared" si="296"/>
        <v>catc</v>
      </c>
      <c r="AC759" t="str">
        <f>("H243")</f>
        <v>H243</v>
      </c>
      <c r="AE759" t="str">
        <f t="shared" si="307"/>
        <v>c.1</v>
      </c>
      <c r="AF759" t="str">
        <f t="shared" si="308"/>
        <v>1.可借圖書</v>
      </c>
      <c r="AG759" t="str">
        <f t="shared" si="306"/>
        <v>在架</v>
      </c>
      <c r="AI759" t="s">
        <v>65</v>
      </c>
      <c r="AK759" t="str">
        <f t="shared" si="297"/>
        <v>一般(Normal)</v>
      </c>
      <c r="AO759" t="s">
        <v>65</v>
      </c>
      <c r="AS759" t="str">
        <f>("2000. ")</f>
        <v xml:space="preserve">2000. </v>
      </c>
      <c r="AT759" t="str">
        <f t="shared" si="298"/>
        <v>catc</v>
      </c>
    </row>
    <row r="760" spans="1:46" x14ac:dyDescent="0.25">
      <c r="A760">
        <v>749</v>
      </c>
      <c r="B760" t="str">
        <f>("289604")</f>
        <v>289604</v>
      </c>
      <c r="C760" t="str">
        <f>("W00002785")</f>
        <v>W00002785</v>
      </c>
      <c r="D760" t="str">
        <f>("Setting up a Linux intranet server : visual black book / ")</f>
        <v xml:space="preserve">Setting up a Linux intranet server : visual black book / </v>
      </c>
      <c r="E760" t="str">
        <f>("Tsuji, Hidenori, 1973- ")</f>
        <v xml:space="preserve">Tsuji, Hidenori, 1973- </v>
      </c>
      <c r="F760" t="str">
        <f>("Coriolis, ")</f>
        <v xml:space="preserve">Coriolis, </v>
      </c>
      <c r="H760" t="str">
        <f t="shared" si="302"/>
        <v>圖書 book</v>
      </c>
      <c r="I760" t="str">
        <f>("QA76.9.C55 T877 1999")</f>
        <v>QA76.9.C55 T877 1999</v>
      </c>
      <c r="J760" t="str">
        <f>("1576105687")</f>
        <v>1576105687</v>
      </c>
      <c r="K760" t="str">
        <f>("704")</f>
        <v>704</v>
      </c>
      <c r="L760" t="str">
        <f t="shared" si="299"/>
        <v>2001/10/10 00:00:00</v>
      </c>
      <c r="M760" t="str">
        <f t="shared" si="311"/>
        <v>2018/08/11 13:34:49</v>
      </c>
      <c r="N760" t="str">
        <f>("1999")</f>
        <v>1999</v>
      </c>
      <c r="O760" t="str">
        <f t="shared" si="305"/>
        <v>4F西文書庫 4F Western Language Books</v>
      </c>
      <c r="P760" t="s">
        <v>64</v>
      </c>
      <c r="W760" t="str">
        <f t="shared" si="313"/>
        <v>美國國會圖書分類法</v>
      </c>
      <c r="Y760" t="str">
        <f>("QA76.9.C55")</f>
        <v>QA76.9.C55</v>
      </c>
      <c r="Z760" t="str">
        <f t="shared" si="312"/>
        <v>2018/08/11 13:34:49</v>
      </c>
      <c r="AA760" t="str">
        <f t="shared" si="296"/>
        <v>catc</v>
      </c>
      <c r="AC760" t="str">
        <f>("T877")</f>
        <v>T877</v>
      </c>
      <c r="AE760" t="str">
        <f t="shared" si="307"/>
        <v>c.1</v>
      </c>
      <c r="AF760" t="str">
        <f t="shared" si="308"/>
        <v>1.可借圖書</v>
      </c>
      <c r="AG760" t="str">
        <f t="shared" si="306"/>
        <v>在架</v>
      </c>
      <c r="AI760" t="s">
        <v>65</v>
      </c>
      <c r="AK760" t="str">
        <f t="shared" si="297"/>
        <v>一般(Normal)</v>
      </c>
      <c r="AO760" t="s">
        <v>65</v>
      </c>
      <c r="AS760" t="str">
        <f>("c2000. ")</f>
        <v xml:space="preserve">c2000. </v>
      </c>
      <c r="AT760" t="str">
        <f t="shared" si="298"/>
        <v>catc</v>
      </c>
    </row>
    <row r="761" spans="1:46" x14ac:dyDescent="0.25">
      <c r="A761">
        <v>750</v>
      </c>
      <c r="B761" t="str">
        <f>("289605")</f>
        <v>289605</v>
      </c>
      <c r="C761" t="str">
        <f>("W00002786")</f>
        <v>W00002786</v>
      </c>
      <c r="D761" t="str">
        <f>("Project management :best practices for IT professionals /")</f>
        <v>Project management :best practices for IT professionals /</v>
      </c>
      <c r="E761" t="str">
        <f>("Murch, Richard ")</f>
        <v xml:space="preserve">Murch, Richard </v>
      </c>
      <c r="F761" t="str">
        <f>("Prentice Hall PTR,")</f>
        <v>Prentice Hall PTR,</v>
      </c>
      <c r="H761" t="str">
        <f t="shared" si="302"/>
        <v>圖書 book</v>
      </c>
      <c r="I761" t="str">
        <f>("HD69.P75 M973 2000")</f>
        <v>HD69.P75 M973 2000</v>
      </c>
      <c r="J761" t="str">
        <f>("0130219142")</f>
        <v>0130219142</v>
      </c>
      <c r="K761" t="str">
        <f>("1120")</f>
        <v>1120</v>
      </c>
      <c r="L761" t="str">
        <f t="shared" si="299"/>
        <v>2001/10/10 00:00:00</v>
      </c>
      <c r="M761" t="str">
        <f t="shared" si="311"/>
        <v>2018/08/11 13:34:49</v>
      </c>
      <c r="N761" t="str">
        <f>("2000")</f>
        <v>2000</v>
      </c>
      <c r="O761" t="str">
        <f t="shared" si="305"/>
        <v>4F西文書庫 4F Western Language Books</v>
      </c>
      <c r="P761" t="s">
        <v>64</v>
      </c>
      <c r="W761" t="str">
        <f t="shared" si="313"/>
        <v>美國國會圖書分類法</v>
      </c>
      <c r="Y761" t="str">
        <f>("HD69.P75")</f>
        <v>HD69.P75</v>
      </c>
      <c r="Z761" t="str">
        <f t="shared" si="312"/>
        <v>2018/08/11 13:34:49</v>
      </c>
      <c r="AA761" t="str">
        <f t="shared" si="296"/>
        <v>catc</v>
      </c>
      <c r="AC761" t="str">
        <f>("M973")</f>
        <v>M973</v>
      </c>
      <c r="AE761" t="str">
        <f t="shared" si="307"/>
        <v>c.1</v>
      </c>
      <c r="AF761" t="str">
        <f t="shared" si="308"/>
        <v>1.可借圖書</v>
      </c>
      <c r="AG761" t="str">
        <f t="shared" si="306"/>
        <v>在架</v>
      </c>
      <c r="AI761" t="s">
        <v>65</v>
      </c>
      <c r="AK761" t="str">
        <f t="shared" si="297"/>
        <v>一般(Normal)</v>
      </c>
      <c r="AO761" t="s">
        <v>65</v>
      </c>
      <c r="AS761" t="str">
        <f>("c2000 ")</f>
        <v xml:space="preserve">c2000 </v>
      </c>
      <c r="AT761" t="str">
        <f t="shared" si="298"/>
        <v>catc</v>
      </c>
    </row>
    <row r="762" spans="1:46" x14ac:dyDescent="0.25">
      <c r="A762">
        <v>751</v>
      </c>
      <c r="B762" t="str">
        <f>("289606")</f>
        <v>289606</v>
      </c>
      <c r="C762" t="str">
        <f>("W00002787")</f>
        <v>W00002787</v>
      </c>
      <c r="D762" t="str">
        <f>("Programming with GNU software /")</f>
        <v>Programming with GNU software /</v>
      </c>
      <c r="E762" t="str">
        <f>("Loukides, Michael Kosta ")</f>
        <v xml:space="preserve">Loukides, Michael Kosta </v>
      </c>
      <c r="F762" t="str">
        <f>("O'Reilly &amp; Associates,")</f>
        <v>O'Reilly &amp; Associates,</v>
      </c>
      <c r="G762" t="str">
        <f>("1st ed ")</f>
        <v xml:space="preserve">1st ed </v>
      </c>
      <c r="H762" t="str">
        <f t="shared" si="302"/>
        <v>圖書 book</v>
      </c>
      <c r="I762" t="str">
        <f>("QA76.76.O63 L886 1997")</f>
        <v>QA76.76.O63 L886 1997</v>
      </c>
      <c r="J762" t="str">
        <f>("1565921127")</f>
        <v>1565921127</v>
      </c>
      <c r="K762" t="str">
        <f>("1120")</f>
        <v>1120</v>
      </c>
      <c r="L762" t="str">
        <f t="shared" si="299"/>
        <v>2001/10/10 00:00:00</v>
      </c>
      <c r="M762" t="str">
        <f t="shared" si="311"/>
        <v>2018/08/11 13:34:49</v>
      </c>
      <c r="N762" t="str">
        <f>("1997")</f>
        <v>1997</v>
      </c>
      <c r="O762" t="str">
        <f t="shared" si="305"/>
        <v>4F西文書庫 4F Western Language Books</v>
      </c>
      <c r="P762" t="s">
        <v>64</v>
      </c>
      <c r="W762" t="str">
        <f t="shared" si="313"/>
        <v>美國國會圖書分類法</v>
      </c>
      <c r="Y762" t="str">
        <f>("QA76.76.O63")</f>
        <v>QA76.76.O63</v>
      </c>
      <c r="Z762" t="str">
        <f t="shared" si="312"/>
        <v>2018/08/11 13:34:49</v>
      </c>
      <c r="AA762" t="str">
        <f t="shared" si="296"/>
        <v>catc</v>
      </c>
      <c r="AC762" t="str">
        <f>("L886")</f>
        <v>L886</v>
      </c>
      <c r="AE762" t="str">
        <f t="shared" si="307"/>
        <v>c.1</v>
      </c>
      <c r="AF762" t="str">
        <f t="shared" si="308"/>
        <v>1.可借圖書</v>
      </c>
      <c r="AG762" t="str">
        <f t="shared" si="306"/>
        <v>在架</v>
      </c>
      <c r="AI762" t="s">
        <v>65</v>
      </c>
      <c r="AK762" t="str">
        <f t="shared" si="297"/>
        <v>一般(Normal)</v>
      </c>
      <c r="AO762" t="s">
        <v>65</v>
      </c>
      <c r="AS762" t="str">
        <f>("c1997 ")</f>
        <v xml:space="preserve">c1997 </v>
      </c>
      <c r="AT762" t="str">
        <f t="shared" si="298"/>
        <v>catc</v>
      </c>
    </row>
    <row r="763" spans="1:46" x14ac:dyDescent="0.25">
      <c r="A763">
        <v>752</v>
      </c>
      <c r="B763" t="str">
        <f>("289586")</f>
        <v>289586</v>
      </c>
      <c r="C763" t="str">
        <f>("W00002788")</f>
        <v>W00002788</v>
      </c>
      <c r="D763" t="str">
        <f>("The C++ standard template library / ")</f>
        <v xml:space="preserve">The C++ standard template library / </v>
      </c>
      <c r="E763" t="str">
        <f>("Plauger, P. J., 1944- ")</f>
        <v xml:space="preserve">Plauger, P. J., 1944- </v>
      </c>
      <c r="F763" t="str">
        <f>("Prentice Hall, ")</f>
        <v xml:space="preserve">Prentice Hall, </v>
      </c>
      <c r="H763" t="str">
        <f t="shared" si="302"/>
        <v>圖書 book</v>
      </c>
      <c r="I763" t="str">
        <f>("QA76.73.C153 P721 2001")</f>
        <v>QA76.73.C153 P721 2001</v>
      </c>
      <c r="J763" t="str">
        <f>("0134376331")</f>
        <v>0134376331</v>
      </c>
      <c r="K763" t="str">
        <f>("1232")</f>
        <v>1232</v>
      </c>
      <c r="L763" t="str">
        <f t="shared" si="299"/>
        <v>2001/10/10 00:00:00</v>
      </c>
      <c r="M763" t="str">
        <f t="shared" si="311"/>
        <v>2018/08/11 13:34:49</v>
      </c>
      <c r="N763" t="str">
        <f>("2001")</f>
        <v>2001</v>
      </c>
      <c r="O763" t="str">
        <f t="shared" si="305"/>
        <v>4F西文書庫 4F Western Language Books</v>
      </c>
      <c r="P763" t="s">
        <v>64</v>
      </c>
      <c r="W763" t="str">
        <f t="shared" si="313"/>
        <v>美國國會圖書分類法</v>
      </c>
      <c r="Y763" t="str">
        <f>("QA76.73.C153")</f>
        <v>QA76.73.C153</v>
      </c>
      <c r="Z763" t="str">
        <f t="shared" si="312"/>
        <v>2018/08/11 13:34:49</v>
      </c>
      <c r="AA763" t="str">
        <f t="shared" si="296"/>
        <v>catc</v>
      </c>
      <c r="AC763" t="str">
        <f>("P721")</f>
        <v>P721</v>
      </c>
      <c r="AE763" t="str">
        <f t="shared" si="307"/>
        <v>c.1</v>
      </c>
      <c r="AF763" t="str">
        <f t="shared" si="308"/>
        <v>1.可借圖書</v>
      </c>
      <c r="AG763" t="str">
        <f t="shared" si="306"/>
        <v>在架</v>
      </c>
      <c r="AI763" t="s">
        <v>65</v>
      </c>
      <c r="AK763" t="str">
        <f t="shared" si="297"/>
        <v>一般(Normal)</v>
      </c>
      <c r="AO763" t="s">
        <v>65</v>
      </c>
      <c r="AS763" t="str">
        <f>("2001. ")</f>
        <v xml:space="preserve">2001. </v>
      </c>
      <c r="AT763" t="str">
        <f t="shared" si="298"/>
        <v>catc</v>
      </c>
    </row>
    <row r="764" spans="1:46" x14ac:dyDescent="0.25">
      <c r="A764">
        <v>753</v>
      </c>
      <c r="B764" t="str">
        <f>("289587")</f>
        <v>289587</v>
      </c>
      <c r="C764" t="str">
        <f>("W00002789")</f>
        <v>W00002789</v>
      </c>
      <c r="D764" t="str">
        <f>("Program generators with XML and Java /")</f>
        <v>Program generators with XML and Java /</v>
      </c>
      <c r="E764" t="str">
        <f>("Cleaveland, J. Craig ")</f>
        <v xml:space="preserve">Cleaveland, J. Craig </v>
      </c>
      <c r="F764" t="str">
        <f>("Prentice Hall PTR,")</f>
        <v>Prentice Hall PTR,</v>
      </c>
      <c r="H764" t="str">
        <f t="shared" si="302"/>
        <v>圖書 book</v>
      </c>
      <c r="I764" t="str">
        <f>("QA76.73.J38 C623 2001")</f>
        <v>QA76.73.J38 C623 2001</v>
      </c>
      <c r="J764" t="str">
        <f>("0130258784")</f>
        <v>0130258784</v>
      </c>
      <c r="K764" t="str">
        <f>("1400")</f>
        <v>1400</v>
      </c>
      <c r="L764" t="str">
        <f t="shared" si="299"/>
        <v>2001/10/10 00:00:00</v>
      </c>
      <c r="M764" t="str">
        <f t="shared" ref="M764:M775" si="314">("2018/08/11 13:34:50")</f>
        <v>2018/08/11 13:34:50</v>
      </c>
      <c r="N764" t="str">
        <f>("2001")</f>
        <v>2001</v>
      </c>
      <c r="O764" t="str">
        <f t="shared" ref="O764:O795" si="315">("4F西文書庫 4F Western Language Books")</f>
        <v>4F西文書庫 4F Western Language Books</v>
      </c>
      <c r="P764" t="s">
        <v>64</v>
      </c>
      <c r="W764" t="str">
        <f t="shared" si="313"/>
        <v>美國國會圖書分類法</v>
      </c>
      <c r="Y764" t="str">
        <f>("QA76.73.J38")</f>
        <v>QA76.73.J38</v>
      </c>
      <c r="Z764" t="str">
        <f t="shared" ref="Z764:Z775" si="316">("2018/08/11 13:34:50")</f>
        <v>2018/08/11 13:34:50</v>
      </c>
      <c r="AA764" t="str">
        <f t="shared" si="296"/>
        <v>catc</v>
      </c>
      <c r="AC764" t="str">
        <f>("C623")</f>
        <v>C623</v>
      </c>
      <c r="AE764" t="str">
        <f t="shared" si="307"/>
        <v>c.1</v>
      </c>
      <c r="AF764" t="str">
        <f t="shared" si="308"/>
        <v>1.可借圖書</v>
      </c>
      <c r="AG764" t="str">
        <f t="shared" ref="AG764:AG795" si="317">("在架")</f>
        <v>在架</v>
      </c>
      <c r="AI764" t="s">
        <v>65</v>
      </c>
      <c r="AK764" t="str">
        <f t="shared" si="297"/>
        <v>一般(Normal)</v>
      </c>
      <c r="AO764" t="s">
        <v>65</v>
      </c>
      <c r="AS764" t="str">
        <f>("c2001 ")</f>
        <v xml:space="preserve">c2001 </v>
      </c>
      <c r="AT764" t="str">
        <f t="shared" si="298"/>
        <v>catc</v>
      </c>
    </row>
    <row r="765" spans="1:46" x14ac:dyDescent="0.25">
      <c r="A765">
        <v>754</v>
      </c>
      <c r="B765" t="str">
        <f>("289588")</f>
        <v>289588</v>
      </c>
      <c r="C765" t="str">
        <f>("W00002790")</f>
        <v>W00002790</v>
      </c>
      <c r="D765" t="str">
        <f>("The e-business (r)evolution : living and working in an interconnected world / ")</f>
        <v xml:space="preserve">The e-business (r)evolution : living and working in an interconnected world / </v>
      </c>
      <c r="E765" t="str">
        <f>("Amor, Daniel. ")</f>
        <v xml:space="preserve">Amor, Daniel. </v>
      </c>
      <c r="F765" t="str">
        <f>("Prentice Hall PTR, ")</f>
        <v xml:space="preserve">Prentice Hall PTR, </v>
      </c>
      <c r="H765" t="str">
        <f t="shared" si="302"/>
        <v>圖書 book</v>
      </c>
      <c r="I765" t="str">
        <f>("HF5548.32 A524 1999")</f>
        <v>HF5548.32 A524 1999</v>
      </c>
      <c r="J765" t="str">
        <f>("013085123X")</f>
        <v>013085123X</v>
      </c>
      <c r="K765" t="str">
        <f>("1120")</f>
        <v>1120</v>
      </c>
      <c r="L765" t="str">
        <f t="shared" si="299"/>
        <v>2001/10/10 00:00:00</v>
      </c>
      <c r="M765" t="str">
        <f t="shared" si="314"/>
        <v>2018/08/11 13:34:50</v>
      </c>
      <c r="N765" t="str">
        <f>("1999")</f>
        <v>1999</v>
      </c>
      <c r="O765" t="str">
        <f t="shared" si="315"/>
        <v>4F西文書庫 4F Western Language Books</v>
      </c>
      <c r="P765" t="s">
        <v>64</v>
      </c>
      <c r="W765" t="str">
        <f t="shared" si="313"/>
        <v>美國國會圖書分類法</v>
      </c>
      <c r="Y765" t="str">
        <f>("HF5548.32")</f>
        <v>HF5548.32</v>
      </c>
      <c r="Z765" t="str">
        <f t="shared" si="316"/>
        <v>2018/08/11 13:34:50</v>
      </c>
      <c r="AA765" t="str">
        <f t="shared" si="296"/>
        <v>catc</v>
      </c>
      <c r="AC765" t="str">
        <f>("A524")</f>
        <v>A524</v>
      </c>
      <c r="AE765" t="str">
        <f t="shared" si="307"/>
        <v>c.1</v>
      </c>
      <c r="AF765" t="str">
        <f t="shared" si="308"/>
        <v>1.可借圖書</v>
      </c>
      <c r="AG765" t="str">
        <f t="shared" si="317"/>
        <v>在架</v>
      </c>
      <c r="AI765" t="s">
        <v>65</v>
      </c>
      <c r="AK765" t="str">
        <f t="shared" si="297"/>
        <v>一般(Normal)</v>
      </c>
      <c r="AO765" t="s">
        <v>65</v>
      </c>
      <c r="AS765" t="str">
        <f>("c2000. ")</f>
        <v xml:space="preserve">c2000. </v>
      </c>
      <c r="AT765" t="str">
        <f t="shared" si="298"/>
        <v>catc</v>
      </c>
    </row>
    <row r="766" spans="1:46" x14ac:dyDescent="0.25">
      <c r="A766">
        <v>755</v>
      </c>
      <c r="B766" t="str">
        <f>("289589")</f>
        <v>289589</v>
      </c>
      <c r="C766" t="str">
        <f>("W00002791")</f>
        <v>W00002791</v>
      </c>
      <c r="D766" t="str">
        <f>("Software project management : from concept to deployment / ")</f>
        <v xml:space="preserve">Software project management : from concept to deployment / </v>
      </c>
      <c r="E766" t="str">
        <f>("Conway, Kieron. ")</f>
        <v xml:space="preserve">Conway, Kieron. </v>
      </c>
      <c r="F766" t="str">
        <f>("Coriolis Group Books, ")</f>
        <v xml:space="preserve">Coriolis Group Books, </v>
      </c>
      <c r="H766" t="str">
        <f t="shared" si="302"/>
        <v>圖書 book</v>
      </c>
      <c r="I766" t="str">
        <f>("QA76.76.D47 C767 2000")</f>
        <v>QA76.76.D47 C767 2000</v>
      </c>
      <c r="J766" t="str">
        <f>("1576108074")</f>
        <v>1576108074</v>
      </c>
      <c r="K766" t="str">
        <f>("1400")</f>
        <v>1400</v>
      </c>
      <c r="L766" t="str">
        <f t="shared" si="299"/>
        <v>2001/10/10 00:00:00</v>
      </c>
      <c r="M766" t="str">
        <f t="shared" si="314"/>
        <v>2018/08/11 13:34:50</v>
      </c>
      <c r="N766" t="str">
        <f>("2000")</f>
        <v>2000</v>
      </c>
      <c r="O766" t="str">
        <f t="shared" si="315"/>
        <v>4F西文書庫 4F Western Language Books</v>
      </c>
      <c r="P766" t="s">
        <v>64</v>
      </c>
      <c r="W766" t="str">
        <f t="shared" si="313"/>
        <v>美國國會圖書分類法</v>
      </c>
      <c r="Y766" t="str">
        <f>("QA76.76.D47")</f>
        <v>QA76.76.D47</v>
      </c>
      <c r="Z766" t="str">
        <f t="shared" si="316"/>
        <v>2018/08/11 13:34:50</v>
      </c>
      <c r="AA766" t="str">
        <f t="shared" si="296"/>
        <v>catc</v>
      </c>
      <c r="AC766" t="str">
        <f>("C767")</f>
        <v>C767</v>
      </c>
      <c r="AE766" t="str">
        <f t="shared" ref="AE766:AE797" si="318">("c.1")</f>
        <v>c.1</v>
      </c>
      <c r="AF766" t="str">
        <f t="shared" si="308"/>
        <v>1.可借圖書</v>
      </c>
      <c r="AG766" t="str">
        <f t="shared" si="317"/>
        <v>在架</v>
      </c>
      <c r="AI766" t="s">
        <v>65</v>
      </c>
      <c r="AK766" t="str">
        <f t="shared" si="297"/>
        <v>一般(Normal)</v>
      </c>
      <c r="AO766" t="s">
        <v>65</v>
      </c>
      <c r="AS766" t="str">
        <f>("2001. ")</f>
        <v xml:space="preserve">2001. </v>
      </c>
      <c r="AT766" t="str">
        <f t="shared" si="298"/>
        <v>catc</v>
      </c>
    </row>
    <row r="767" spans="1:46" x14ac:dyDescent="0.25">
      <c r="A767">
        <v>756</v>
      </c>
      <c r="B767" t="str">
        <f>("289590")</f>
        <v>289590</v>
      </c>
      <c r="C767" t="str">
        <f>("W00002792")</f>
        <v>W00002792</v>
      </c>
      <c r="D767" t="str">
        <f>("The essential guide to wireless communications applications :from cellular systems to WAP and M-Commerce /")</f>
        <v>The essential guide to wireless communications applications :from cellular systems to WAP and M-Commerce /</v>
      </c>
      <c r="E767" t="str">
        <f>("Dornan, Andy ")</f>
        <v xml:space="preserve">Dornan, Andy </v>
      </c>
      <c r="F767" t="str">
        <f>("Prentice Hall PTR,")</f>
        <v>Prentice Hall PTR,</v>
      </c>
      <c r="H767" t="str">
        <f t="shared" si="302"/>
        <v>圖書 book</v>
      </c>
      <c r="I767" t="str">
        <f>("TK5103.2 D713 2000")</f>
        <v>TK5103.2 D713 2000</v>
      </c>
      <c r="J767" t="str">
        <f>("0130317160")</f>
        <v>0130317160</v>
      </c>
      <c r="K767" t="str">
        <f>("984")</f>
        <v>984</v>
      </c>
      <c r="L767" t="str">
        <f t="shared" si="299"/>
        <v>2001/10/10 00:00:00</v>
      </c>
      <c r="M767" t="str">
        <f t="shared" si="314"/>
        <v>2018/08/11 13:34:50</v>
      </c>
      <c r="N767" t="str">
        <f>("2000")</f>
        <v>2000</v>
      </c>
      <c r="O767" t="str">
        <f t="shared" si="315"/>
        <v>4F西文書庫 4F Western Language Books</v>
      </c>
      <c r="P767" t="s">
        <v>64</v>
      </c>
      <c r="S767" t="str">
        <f>("xvii, 315 p. :")</f>
        <v>xvii, 315 p. :</v>
      </c>
      <c r="T767" t="str">
        <f>("ill., maps ;")</f>
        <v>ill., maps ;</v>
      </c>
      <c r="U767" t="str">
        <f>("24 cm ")</f>
        <v xml:space="preserve">24 cm </v>
      </c>
      <c r="W767" t="str">
        <f t="shared" si="313"/>
        <v>美國國會圖書分類法</v>
      </c>
      <c r="Y767" t="str">
        <f>("TK5103.2")</f>
        <v>TK5103.2</v>
      </c>
      <c r="Z767" t="str">
        <f t="shared" si="316"/>
        <v>2018/08/11 13:34:50</v>
      </c>
      <c r="AA767" t="str">
        <f t="shared" si="296"/>
        <v>catc</v>
      </c>
      <c r="AC767" t="str">
        <f>("D713")</f>
        <v>D713</v>
      </c>
      <c r="AE767" t="str">
        <f t="shared" si="318"/>
        <v>c.1</v>
      </c>
      <c r="AF767" t="str">
        <f t="shared" si="308"/>
        <v>1.可借圖書</v>
      </c>
      <c r="AG767" t="str">
        <f t="shared" si="317"/>
        <v>在架</v>
      </c>
      <c r="AI767" t="s">
        <v>65</v>
      </c>
      <c r="AK767" t="str">
        <f t="shared" si="297"/>
        <v>一般(Normal)</v>
      </c>
      <c r="AO767" t="s">
        <v>65</v>
      </c>
      <c r="AS767" t="str">
        <f>("c2000 ")</f>
        <v xml:space="preserve">c2000 </v>
      </c>
      <c r="AT767" t="str">
        <f t="shared" si="298"/>
        <v>catc</v>
      </c>
    </row>
    <row r="768" spans="1:46" x14ac:dyDescent="0.25">
      <c r="A768">
        <v>757</v>
      </c>
      <c r="B768" t="str">
        <f>("289591")</f>
        <v>289591</v>
      </c>
      <c r="C768" t="str">
        <f>("W00002793")</f>
        <v>W00002793</v>
      </c>
      <c r="D768" t="str">
        <f>("The essential guide to knowledge management :e-business and CRM applications /")</f>
        <v>The essential guide to knowledge management :e-business and CRM applications /</v>
      </c>
      <c r="E768" t="str">
        <f>("Tiwana, Amrit,1974- ")</f>
        <v xml:space="preserve">Tiwana, Amrit,1974- </v>
      </c>
      <c r="F768" t="str">
        <f>("Prentice Hall PTR,")</f>
        <v>Prentice Hall PTR,</v>
      </c>
      <c r="H768" t="str">
        <f t="shared" si="302"/>
        <v>圖書 book</v>
      </c>
      <c r="I768" t="str">
        <f>("HD30.2 T551 2000")</f>
        <v>HD30.2 T551 2000</v>
      </c>
      <c r="J768" t="str">
        <f>("0130320005")</f>
        <v>0130320005</v>
      </c>
      <c r="K768" t="str">
        <f>("984")</f>
        <v>984</v>
      </c>
      <c r="L768" t="str">
        <f t="shared" si="299"/>
        <v>2001/10/10 00:00:00</v>
      </c>
      <c r="M768" t="str">
        <f t="shared" si="314"/>
        <v>2018/08/11 13:34:50</v>
      </c>
      <c r="N768" t="str">
        <f>("2000")</f>
        <v>2000</v>
      </c>
      <c r="O768" t="str">
        <f t="shared" si="315"/>
        <v>4F西文書庫 4F Western Language Books</v>
      </c>
      <c r="P768" t="s">
        <v>64</v>
      </c>
      <c r="W768" t="str">
        <f t="shared" si="313"/>
        <v>美國國會圖書分類法</v>
      </c>
      <c r="Y768" t="str">
        <f>("HD30.2")</f>
        <v>HD30.2</v>
      </c>
      <c r="Z768" t="str">
        <f t="shared" si="316"/>
        <v>2018/08/11 13:34:50</v>
      </c>
      <c r="AA768" t="str">
        <f t="shared" si="296"/>
        <v>catc</v>
      </c>
      <c r="AC768" t="str">
        <f>("T551")</f>
        <v>T551</v>
      </c>
      <c r="AE768" t="str">
        <f t="shared" si="318"/>
        <v>c.1</v>
      </c>
      <c r="AF768" t="str">
        <f t="shared" si="308"/>
        <v>1.可借圖書</v>
      </c>
      <c r="AG768" t="str">
        <f t="shared" si="317"/>
        <v>在架</v>
      </c>
      <c r="AI768" t="s">
        <v>65</v>
      </c>
      <c r="AK768" t="str">
        <f t="shared" si="297"/>
        <v>一般(Normal)</v>
      </c>
      <c r="AO768" t="s">
        <v>65</v>
      </c>
      <c r="AS768" t="str">
        <f>("c2000 ")</f>
        <v xml:space="preserve">c2000 </v>
      </c>
      <c r="AT768" t="str">
        <f t="shared" si="298"/>
        <v>catc</v>
      </c>
    </row>
    <row r="769" spans="1:46" x14ac:dyDescent="0.25">
      <c r="A769">
        <v>758</v>
      </c>
      <c r="B769" t="str">
        <f>("289592")</f>
        <v>289592</v>
      </c>
      <c r="C769" t="str">
        <f>("W00002794")</f>
        <v>W00002794</v>
      </c>
      <c r="D769" t="str">
        <f>("Software architect bootcamp / ")</f>
        <v xml:space="preserve">Software architect bootcamp / </v>
      </c>
      <c r="E769" t="str">
        <f>("Malveau, Raphael C. ")</f>
        <v xml:space="preserve">Malveau, Raphael C. </v>
      </c>
      <c r="F769" t="str">
        <f>("Prentice Hall, ")</f>
        <v xml:space="preserve">Prentice Hall, </v>
      </c>
      <c r="H769" t="str">
        <f t="shared" si="302"/>
        <v>圖書 book</v>
      </c>
      <c r="I769" t="str">
        <f>("QA76.758 M262 1999")</f>
        <v>QA76.758 M262 1999</v>
      </c>
      <c r="J769" t="str">
        <f>("0130274070")</f>
        <v>0130274070</v>
      </c>
      <c r="K769" t="str">
        <f>("1376")</f>
        <v>1376</v>
      </c>
      <c r="L769" t="str">
        <f t="shared" si="299"/>
        <v>2001/10/10 00:00:00</v>
      </c>
      <c r="M769" t="str">
        <f t="shared" si="314"/>
        <v>2018/08/11 13:34:50</v>
      </c>
      <c r="N769" t="str">
        <f>("1999")</f>
        <v>1999</v>
      </c>
      <c r="O769" t="str">
        <f t="shared" si="315"/>
        <v>4F西文書庫 4F Western Language Books</v>
      </c>
      <c r="P769" t="s">
        <v>64</v>
      </c>
      <c r="W769" t="str">
        <f t="shared" si="313"/>
        <v>美國國會圖書分類法</v>
      </c>
      <c r="Y769" t="str">
        <f>("QA76.758")</f>
        <v>QA76.758</v>
      </c>
      <c r="Z769" t="str">
        <f t="shared" si="316"/>
        <v>2018/08/11 13:34:50</v>
      </c>
      <c r="AA769" t="str">
        <f t="shared" si="296"/>
        <v>catc</v>
      </c>
      <c r="AC769" t="str">
        <f>("M262")</f>
        <v>M262</v>
      </c>
      <c r="AE769" t="str">
        <f t="shared" si="318"/>
        <v>c.1</v>
      </c>
      <c r="AF769" t="str">
        <f t="shared" si="308"/>
        <v>1.可借圖書</v>
      </c>
      <c r="AG769" t="str">
        <f t="shared" si="317"/>
        <v>在架</v>
      </c>
      <c r="AI769" t="s">
        <v>65</v>
      </c>
      <c r="AK769" t="str">
        <f t="shared" si="297"/>
        <v>一般(Normal)</v>
      </c>
      <c r="AO769" t="s">
        <v>65</v>
      </c>
      <c r="AS769" t="str">
        <f>("1999. ")</f>
        <v xml:space="preserve">1999. </v>
      </c>
      <c r="AT769" t="str">
        <f t="shared" si="298"/>
        <v>catc</v>
      </c>
    </row>
    <row r="770" spans="1:46" x14ac:dyDescent="0.25">
      <c r="A770">
        <v>759</v>
      </c>
      <c r="B770" t="str">
        <f>("289593")</f>
        <v>289593</v>
      </c>
      <c r="C770" t="str">
        <f>("W00002795")</f>
        <v>W00002795</v>
      </c>
      <c r="D770" t="str">
        <f>("Cabling : the complete guide to network wiring / ")</f>
        <v xml:space="preserve">Cabling : the complete guide to network wiring / </v>
      </c>
      <c r="E770" t="str">
        <f>("Groth, David. ")</f>
        <v xml:space="preserve">Groth, David. </v>
      </c>
      <c r="F770" t="str">
        <f>("Sybex, ")</f>
        <v xml:space="preserve">Sybex, </v>
      </c>
      <c r="H770" t="str">
        <f t="shared" si="302"/>
        <v>圖書 book</v>
      </c>
      <c r="I770" t="str">
        <f>("TK5103.12 G881 2000")</f>
        <v>TK5103.12 G881 2000</v>
      </c>
      <c r="J770" t="str">
        <f>("0782126456")</f>
        <v>0782126456</v>
      </c>
      <c r="K770" t="str">
        <f>("1400")</f>
        <v>1400</v>
      </c>
      <c r="L770" t="str">
        <f t="shared" si="299"/>
        <v>2001/10/10 00:00:00</v>
      </c>
      <c r="M770" t="str">
        <f t="shared" si="314"/>
        <v>2018/08/11 13:34:50</v>
      </c>
      <c r="N770" t="str">
        <f>("2000")</f>
        <v>2000</v>
      </c>
      <c r="O770" t="str">
        <f t="shared" si="315"/>
        <v>4F西文書庫 4F Western Language Books</v>
      </c>
      <c r="P770" t="s">
        <v>64</v>
      </c>
      <c r="W770" t="str">
        <f t="shared" si="313"/>
        <v>美國國會圖書分類法</v>
      </c>
      <c r="Y770" t="str">
        <f>("TK5103.12")</f>
        <v>TK5103.12</v>
      </c>
      <c r="Z770" t="str">
        <f t="shared" si="316"/>
        <v>2018/08/11 13:34:50</v>
      </c>
      <c r="AA770" t="str">
        <f t="shared" si="296"/>
        <v>catc</v>
      </c>
      <c r="AC770" t="str">
        <f>("G881")</f>
        <v>G881</v>
      </c>
      <c r="AE770" t="str">
        <f t="shared" si="318"/>
        <v>c.1</v>
      </c>
      <c r="AF770" t="str">
        <f t="shared" si="308"/>
        <v>1.可借圖書</v>
      </c>
      <c r="AG770" t="str">
        <f t="shared" si="317"/>
        <v>在架</v>
      </c>
      <c r="AI770" t="s">
        <v>65</v>
      </c>
      <c r="AK770" t="str">
        <f t="shared" si="297"/>
        <v>一般(Normal)</v>
      </c>
      <c r="AO770" t="s">
        <v>65</v>
      </c>
      <c r="AS770" t="str">
        <f>("c2000. ")</f>
        <v xml:space="preserve">c2000. </v>
      </c>
      <c r="AT770" t="str">
        <f t="shared" si="298"/>
        <v>catc</v>
      </c>
    </row>
    <row r="771" spans="1:46" x14ac:dyDescent="0.25">
      <c r="A771">
        <v>760</v>
      </c>
      <c r="B771" t="str">
        <f>("289594")</f>
        <v>289594</v>
      </c>
      <c r="C771" t="str">
        <f>("W00002796")</f>
        <v>W00002796</v>
      </c>
      <c r="D771" t="str">
        <f>("Internet telephony :call processing protocols /")</f>
        <v>Internet telephony :call processing protocols /</v>
      </c>
      <c r="E771" t="str">
        <f>("Black, Uyless D ")</f>
        <v xml:space="preserve">Black, Uyless D </v>
      </c>
      <c r="F771" t="str">
        <f>("Prentice Hall PTR,")</f>
        <v>Prentice Hall PTR,</v>
      </c>
      <c r="H771" t="str">
        <f t="shared" si="302"/>
        <v>圖書 book</v>
      </c>
      <c r="I771" t="str">
        <f>("TK5105.8865 B628 2000")</f>
        <v>TK5105.8865 B628 2000</v>
      </c>
      <c r="J771" t="str">
        <f>("0130255653")</f>
        <v>0130255653</v>
      </c>
      <c r="K771" t="str">
        <f>("1344")</f>
        <v>1344</v>
      </c>
      <c r="L771" t="str">
        <f t="shared" si="299"/>
        <v>2001/10/10 00:00:00</v>
      </c>
      <c r="M771" t="str">
        <f t="shared" si="314"/>
        <v>2018/08/11 13:34:50</v>
      </c>
      <c r="N771" t="str">
        <f>("2000")</f>
        <v>2000</v>
      </c>
      <c r="O771" t="str">
        <f t="shared" si="315"/>
        <v>4F西文書庫 4F Western Language Books</v>
      </c>
      <c r="P771" t="s">
        <v>64</v>
      </c>
      <c r="W771" t="str">
        <f t="shared" si="313"/>
        <v>美國國會圖書分類法</v>
      </c>
      <c r="Y771" t="str">
        <f>("TK5105.8865")</f>
        <v>TK5105.8865</v>
      </c>
      <c r="Z771" t="str">
        <f t="shared" si="316"/>
        <v>2018/08/11 13:34:50</v>
      </c>
      <c r="AA771" t="str">
        <f t="shared" si="296"/>
        <v>catc</v>
      </c>
      <c r="AC771" t="str">
        <f>("B628")</f>
        <v>B628</v>
      </c>
      <c r="AE771" t="str">
        <f t="shared" si="318"/>
        <v>c.1</v>
      </c>
      <c r="AF771" t="str">
        <f t="shared" si="308"/>
        <v>1.可借圖書</v>
      </c>
      <c r="AG771" t="str">
        <f t="shared" si="317"/>
        <v>在架</v>
      </c>
      <c r="AI771" t="s">
        <v>65</v>
      </c>
      <c r="AK771" t="str">
        <f t="shared" si="297"/>
        <v>一般(Normal)</v>
      </c>
      <c r="AO771" t="s">
        <v>65</v>
      </c>
      <c r="AS771" t="str">
        <f>("c2001 ")</f>
        <v xml:space="preserve">c2001 </v>
      </c>
      <c r="AT771" t="str">
        <f t="shared" si="298"/>
        <v>catc</v>
      </c>
    </row>
    <row r="772" spans="1:46" x14ac:dyDescent="0.25">
      <c r="A772">
        <v>761</v>
      </c>
      <c r="B772" t="str">
        <f>("289607")</f>
        <v>289607</v>
      </c>
      <c r="C772" t="str">
        <f>("W00002797")</f>
        <v>W00002797</v>
      </c>
      <c r="D772" t="str">
        <f>("3D modeling &amp; surfacing /")</f>
        <v>3D modeling &amp; surfacing /</v>
      </c>
      <c r="E772" t="str">
        <f>("Fleming, Bill,1969- ")</f>
        <v xml:space="preserve">Fleming, Bill,1969- </v>
      </c>
      <c r="F772" t="str">
        <f>("Morgan Kaufmann,")</f>
        <v>Morgan Kaufmann,</v>
      </c>
      <c r="H772" t="str">
        <f t="shared" si="302"/>
        <v>圖書 book</v>
      </c>
      <c r="I772" t="str">
        <f>("T385 F598 1999")</f>
        <v>T385 F598 1999</v>
      </c>
      <c r="J772" t="str">
        <f>("0122604903")</f>
        <v>0122604903</v>
      </c>
      <c r="K772" t="str">
        <f>("1280")</f>
        <v>1280</v>
      </c>
      <c r="L772" t="str">
        <f t="shared" si="299"/>
        <v>2001/10/10 00:00:00</v>
      </c>
      <c r="M772" t="str">
        <f t="shared" si="314"/>
        <v>2018/08/11 13:34:50</v>
      </c>
      <c r="N772" t="str">
        <f>("1999")</f>
        <v>1999</v>
      </c>
      <c r="O772" t="str">
        <f t="shared" si="315"/>
        <v>4F西文書庫 4F Western Language Books</v>
      </c>
      <c r="P772" t="s">
        <v>64</v>
      </c>
      <c r="W772" t="str">
        <f t="shared" si="313"/>
        <v>美國國會圖書分類法</v>
      </c>
      <c r="Y772" t="str">
        <f>("T385")</f>
        <v>T385</v>
      </c>
      <c r="Z772" t="str">
        <f t="shared" si="316"/>
        <v>2018/08/11 13:34:50</v>
      </c>
      <c r="AA772" t="str">
        <f t="shared" si="296"/>
        <v>catc</v>
      </c>
      <c r="AC772" t="str">
        <f>("F598")</f>
        <v>F598</v>
      </c>
      <c r="AE772" t="str">
        <f t="shared" si="318"/>
        <v>c.1</v>
      </c>
      <c r="AF772" t="str">
        <f t="shared" si="308"/>
        <v>1.可借圖書</v>
      </c>
      <c r="AG772" t="str">
        <f t="shared" si="317"/>
        <v>在架</v>
      </c>
      <c r="AI772" t="s">
        <v>65</v>
      </c>
      <c r="AK772" t="str">
        <f t="shared" si="297"/>
        <v>一般(Normal)</v>
      </c>
      <c r="AO772" t="s">
        <v>65</v>
      </c>
      <c r="AS772" t="str">
        <f>("c1999 ")</f>
        <v xml:space="preserve">c1999 </v>
      </c>
      <c r="AT772" t="str">
        <f t="shared" si="298"/>
        <v>catc</v>
      </c>
    </row>
    <row r="773" spans="1:46" x14ac:dyDescent="0.25">
      <c r="A773">
        <v>762</v>
      </c>
      <c r="B773" t="str">
        <f>("289608")</f>
        <v>289608</v>
      </c>
      <c r="C773" t="str">
        <f>("W00002798")</f>
        <v>W00002798</v>
      </c>
      <c r="D773" t="str">
        <f>("Communications systems and networks /")</f>
        <v>Communications systems and networks /</v>
      </c>
      <c r="E773" t="str">
        <f>("Horak, Ray ")</f>
        <v xml:space="preserve">Horak, Ray </v>
      </c>
      <c r="F773" t="str">
        <f>("M&amp;T Books :;IDG Books Worldwide [distributor],")</f>
        <v>M&amp;T Books :;IDG Books Worldwide [distributor],</v>
      </c>
      <c r="G773" t="str">
        <f>("2nd ed ")</f>
        <v xml:space="preserve">2nd ed </v>
      </c>
      <c r="H773" t="str">
        <f t="shared" si="302"/>
        <v>圖書 book</v>
      </c>
      <c r="I773" t="str">
        <f>("TK5101 H812 1999")</f>
        <v>TK5101 H812 1999</v>
      </c>
      <c r="J773" t="str">
        <f>("0764575228;0764575228")</f>
        <v>0764575228;0764575228</v>
      </c>
      <c r="K773" t="str">
        <f>("1120")</f>
        <v>1120</v>
      </c>
      <c r="L773" t="str">
        <f t="shared" si="299"/>
        <v>2001/10/10 00:00:00</v>
      </c>
      <c r="M773" t="str">
        <f t="shared" si="314"/>
        <v>2018/08/11 13:34:50</v>
      </c>
      <c r="N773" t="str">
        <f>("1999")</f>
        <v>1999</v>
      </c>
      <c r="O773" t="str">
        <f t="shared" si="315"/>
        <v>4F西文書庫 4F Western Language Books</v>
      </c>
      <c r="P773" t="s">
        <v>64</v>
      </c>
      <c r="S773" t="str">
        <f>("xlii, 697 p. :")</f>
        <v>xlii, 697 p. :</v>
      </c>
      <c r="T773" t="str">
        <f>("ill. ;")</f>
        <v>ill. ;</v>
      </c>
      <c r="U773" t="str">
        <f>("23 cm ")</f>
        <v xml:space="preserve">23 cm </v>
      </c>
      <c r="W773" t="str">
        <f t="shared" si="313"/>
        <v>美國國會圖書分類法</v>
      </c>
      <c r="Y773" t="str">
        <f>("TK5101")</f>
        <v>TK5101</v>
      </c>
      <c r="Z773" t="str">
        <f t="shared" si="316"/>
        <v>2018/08/11 13:34:50</v>
      </c>
      <c r="AA773" t="str">
        <f t="shared" si="296"/>
        <v>catc</v>
      </c>
      <c r="AC773" t="str">
        <f>("H812")</f>
        <v>H812</v>
      </c>
      <c r="AE773" t="str">
        <f t="shared" si="318"/>
        <v>c.1</v>
      </c>
      <c r="AF773" t="str">
        <f t="shared" si="308"/>
        <v>1.可借圖書</v>
      </c>
      <c r="AG773" t="str">
        <f t="shared" si="317"/>
        <v>在架</v>
      </c>
      <c r="AI773" t="s">
        <v>65</v>
      </c>
      <c r="AK773" t="str">
        <f t="shared" si="297"/>
        <v>一般(Normal)</v>
      </c>
      <c r="AO773" t="s">
        <v>65</v>
      </c>
      <c r="AS773" t="str">
        <f>("c2000 ")</f>
        <v xml:space="preserve">c2000 </v>
      </c>
      <c r="AT773" t="str">
        <f t="shared" si="298"/>
        <v>catc</v>
      </c>
    </row>
    <row r="774" spans="1:46" x14ac:dyDescent="0.25">
      <c r="A774">
        <v>763</v>
      </c>
      <c r="B774" t="str">
        <f>("289609")</f>
        <v>289609</v>
      </c>
      <c r="C774" t="str">
        <f>("W00002799")</f>
        <v>W00002799</v>
      </c>
      <c r="D774" t="str">
        <f>("Object-relational database development :a plumber's guide /")</f>
        <v>Object-relational database development :a plumber's guide /</v>
      </c>
      <c r="E774" t="str">
        <f>("Brown, Paul Geoffrey,1968- ")</f>
        <v xml:space="preserve">Brown, Paul Geoffrey,1968- </v>
      </c>
      <c r="F774" t="str">
        <f>("Prentice Hall PTR,")</f>
        <v>Prentice Hall PTR,</v>
      </c>
      <c r="H774" t="str">
        <f t="shared" si="302"/>
        <v>圖書 book</v>
      </c>
      <c r="I774" t="str">
        <f>("QA76.9.D26 B882 2001")</f>
        <v>QA76.9.D26 B882 2001</v>
      </c>
      <c r="J774" t="str">
        <f>("0130194603")</f>
        <v>0130194603</v>
      </c>
      <c r="K774" t="str">
        <f>("1400")</f>
        <v>1400</v>
      </c>
      <c r="L774" t="str">
        <f t="shared" si="299"/>
        <v>2001/10/10 00:00:00</v>
      </c>
      <c r="M774" t="str">
        <f t="shared" si="314"/>
        <v>2018/08/11 13:34:50</v>
      </c>
      <c r="N774" t="str">
        <f>("2001")</f>
        <v>2001</v>
      </c>
      <c r="O774" t="str">
        <f t="shared" si="315"/>
        <v>4F西文書庫 4F Western Language Books</v>
      </c>
      <c r="P774" t="s">
        <v>64</v>
      </c>
      <c r="W774" t="str">
        <f t="shared" si="313"/>
        <v>美國國會圖書分類法</v>
      </c>
      <c r="Y774" t="str">
        <f>("QA76.9.D26")</f>
        <v>QA76.9.D26</v>
      </c>
      <c r="Z774" t="str">
        <f t="shared" si="316"/>
        <v>2018/08/11 13:34:50</v>
      </c>
      <c r="AA774" t="str">
        <f t="shared" si="296"/>
        <v>catc</v>
      </c>
      <c r="AC774" t="str">
        <f>("B882")</f>
        <v>B882</v>
      </c>
      <c r="AE774" t="str">
        <f t="shared" si="318"/>
        <v>c.1</v>
      </c>
      <c r="AF774" t="str">
        <f t="shared" si="308"/>
        <v>1.可借圖書</v>
      </c>
      <c r="AG774" t="str">
        <f t="shared" si="317"/>
        <v>在架</v>
      </c>
      <c r="AI774" t="s">
        <v>65</v>
      </c>
      <c r="AK774" t="str">
        <f t="shared" si="297"/>
        <v>一般(Normal)</v>
      </c>
      <c r="AO774" t="s">
        <v>65</v>
      </c>
      <c r="AS774" t="str">
        <f>("c2001 ")</f>
        <v xml:space="preserve">c2001 </v>
      </c>
      <c r="AT774" t="str">
        <f t="shared" si="298"/>
        <v>catc</v>
      </c>
    </row>
    <row r="775" spans="1:46" x14ac:dyDescent="0.25">
      <c r="A775">
        <v>764</v>
      </c>
      <c r="B775" t="str">
        <f>("289610")</f>
        <v>289610</v>
      </c>
      <c r="C775" t="str">
        <f>("W00002800")</f>
        <v>W00002800</v>
      </c>
      <c r="D775" t="str">
        <f>("UNIX fault management :a guide for system administration/")</f>
        <v>UNIX fault management :a guide for system administration/</v>
      </c>
      <c r="E775" t="str">
        <f>("Stone, Brad,1966- ")</f>
        <v xml:space="preserve">Stone, Brad,1966- </v>
      </c>
      <c r="F775" t="str">
        <f>("Prentice Hall PTR,")</f>
        <v>Prentice Hall PTR,</v>
      </c>
      <c r="H775" t="str">
        <f t="shared" si="302"/>
        <v>圖書 book</v>
      </c>
      <c r="I775" t="str">
        <f>("QA76.76.O63 S878 1999")</f>
        <v>QA76.76.O63 S878 1999</v>
      </c>
      <c r="J775" t="str">
        <f>("013026525X")</f>
        <v>013026525X</v>
      </c>
      <c r="K775" t="str">
        <f>("1120")</f>
        <v>1120</v>
      </c>
      <c r="L775" t="str">
        <f t="shared" si="299"/>
        <v>2001/10/10 00:00:00</v>
      </c>
      <c r="M775" t="str">
        <f t="shared" si="314"/>
        <v>2018/08/11 13:34:50</v>
      </c>
      <c r="N775" t="str">
        <f>("1999")</f>
        <v>1999</v>
      </c>
      <c r="O775" t="str">
        <f t="shared" si="315"/>
        <v>4F西文書庫 4F Western Language Books</v>
      </c>
      <c r="P775" t="s">
        <v>64</v>
      </c>
      <c r="W775" t="str">
        <f t="shared" si="313"/>
        <v>美國國會圖書分類法</v>
      </c>
      <c r="Y775" t="str">
        <f>("QA76.76.O63")</f>
        <v>QA76.76.O63</v>
      </c>
      <c r="Z775" t="str">
        <f t="shared" si="316"/>
        <v>2018/08/11 13:34:50</v>
      </c>
      <c r="AA775" t="str">
        <f t="shared" si="296"/>
        <v>catc</v>
      </c>
      <c r="AC775" t="str">
        <f>("S878")</f>
        <v>S878</v>
      </c>
      <c r="AE775" t="str">
        <f t="shared" si="318"/>
        <v>c.1</v>
      </c>
      <c r="AF775" t="str">
        <f t="shared" si="308"/>
        <v>1.可借圖書</v>
      </c>
      <c r="AG775" t="str">
        <f t="shared" si="317"/>
        <v>在架</v>
      </c>
      <c r="AI775" t="s">
        <v>65</v>
      </c>
      <c r="AK775" t="str">
        <f t="shared" si="297"/>
        <v>一般(Normal)</v>
      </c>
      <c r="AO775" t="s">
        <v>65</v>
      </c>
      <c r="AS775" t="str">
        <f>("c2000 ")</f>
        <v xml:space="preserve">c2000 </v>
      </c>
      <c r="AT775" t="str">
        <f t="shared" si="298"/>
        <v>catc</v>
      </c>
    </row>
    <row r="776" spans="1:46" x14ac:dyDescent="0.25">
      <c r="A776">
        <v>765</v>
      </c>
      <c r="B776" t="str">
        <f>("290441")</f>
        <v>290441</v>
      </c>
      <c r="C776" t="str">
        <f>("W00002801")</f>
        <v>W00002801</v>
      </c>
      <c r="D776" t="str">
        <f>("Squeak :object-oriented design with multimedia applications /")</f>
        <v>Squeak :object-oriented design with multimedia applications /</v>
      </c>
      <c r="E776" t="str">
        <f>("Guzdial, Mark.")</f>
        <v>Guzdial, Mark.</v>
      </c>
      <c r="F776" t="str">
        <f>("Prentice Hall,")</f>
        <v>Prentice Hall,</v>
      </c>
      <c r="H776" t="str">
        <f t="shared" si="302"/>
        <v>圖書 book</v>
      </c>
      <c r="I776" t="str">
        <f>("QA76.64 G993 2000")</f>
        <v>QA76.64 G993 2000</v>
      </c>
      <c r="J776" t="str">
        <f>("0130280283")</f>
        <v>0130280283</v>
      </c>
      <c r="K776" t="str">
        <f>("1264")</f>
        <v>1264</v>
      </c>
      <c r="L776" t="str">
        <f t="shared" si="299"/>
        <v>2001/10/10 00:00:00</v>
      </c>
      <c r="M776" t="str">
        <f>("2018/08/11 13:36:24")</f>
        <v>2018/08/11 13:36:24</v>
      </c>
      <c r="N776" t="str">
        <f>("2000")</f>
        <v>2000</v>
      </c>
      <c r="O776" t="str">
        <f t="shared" si="315"/>
        <v>4F西文書庫 4F Western Language Books</v>
      </c>
      <c r="P776" t="s">
        <v>64</v>
      </c>
      <c r="S776" t="str">
        <f>("xxi, 306 p. :")</f>
        <v>xxi, 306 p. :</v>
      </c>
      <c r="T776" t="str">
        <f>("ill. ;")</f>
        <v>ill. ;</v>
      </c>
      <c r="U776" t="str">
        <f>("24 cm. +")</f>
        <v>24 cm. +</v>
      </c>
      <c r="V776" t="str">
        <f>("1 computer laser optical disc (4 3/4 in.)")</f>
        <v>1 computer laser optical disc (4 3/4 in.)</v>
      </c>
      <c r="W776" t="str">
        <f t="shared" si="313"/>
        <v>美國國會圖書分類法</v>
      </c>
      <c r="Y776" t="str">
        <f>("QA76.64")</f>
        <v>QA76.64</v>
      </c>
      <c r="Z776" t="str">
        <f>("2018/08/11 13:36:24")</f>
        <v>2018/08/11 13:36:24</v>
      </c>
      <c r="AA776" t="str">
        <f t="shared" si="296"/>
        <v>catc</v>
      </c>
      <c r="AC776" t="str">
        <f>("G993")</f>
        <v>G993</v>
      </c>
      <c r="AE776" t="str">
        <f t="shared" si="318"/>
        <v>c.1</v>
      </c>
      <c r="AF776" t="str">
        <f t="shared" si="308"/>
        <v>1.可借圖書</v>
      </c>
      <c r="AG776" t="str">
        <f t="shared" si="317"/>
        <v>在架</v>
      </c>
      <c r="AI776" t="s">
        <v>65</v>
      </c>
      <c r="AK776" t="str">
        <f t="shared" si="297"/>
        <v>一般(Normal)</v>
      </c>
      <c r="AO776" t="s">
        <v>65</v>
      </c>
      <c r="AS776" t="str">
        <f>("2001.")</f>
        <v>2001.</v>
      </c>
      <c r="AT776" t="str">
        <f t="shared" si="298"/>
        <v>catc</v>
      </c>
    </row>
    <row r="777" spans="1:46" x14ac:dyDescent="0.25">
      <c r="A777">
        <v>766</v>
      </c>
      <c r="B777" t="str">
        <f>("289611")</f>
        <v>289611</v>
      </c>
      <c r="C777" t="str">
        <f>("W00002802")</f>
        <v>W00002802</v>
      </c>
      <c r="D777" t="str">
        <f>("Scaling for e-business :technologies, models, performance, and capacity planning /")</f>
        <v>Scaling for e-business :technologies, models, performance, and capacity planning /</v>
      </c>
      <c r="E777" t="str">
        <f>("Menasce, Daniel A ")</f>
        <v xml:space="preserve">Menasce, Daniel A </v>
      </c>
      <c r="F777" t="str">
        <f>("Prentice Hall PTR,")</f>
        <v>Prentice Hall PTR,</v>
      </c>
      <c r="H777" t="str">
        <f t="shared" si="302"/>
        <v>圖書 book</v>
      </c>
      <c r="I777" t="str">
        <f>("HF5548.32 M535 2000")</f>
        <v>HF5548.32 M535 2000</v>
      </c>
      <c r="J777" t="str">
        <f>("0130863289")</f>
        <v>0130863289</v>
      </c>
      <c r="K777" t="str">
        <f>("1400")</f>
        <v>1400</v>
      </c>
      <c r="L777" t="str">
        <f t="shared" si="299"/>
        <v>2001/10/10 00:00:00</v>
      </c>
      <c r="M777" t="str">
        <f t="shared" ref="M777:M786" si="319">("2018/08/11 13:34:51")</f>
        <v>2018/08/11 13:34:51</v>
      </c>
      <c r="N777" t="str">
        <f>("2000")</f>
        <v>2000</v>
      </c>
      <c r="O777" t="str">
        <f t="shared" si="315"/>
        <v>4F西文書庫 4F Western Language Books</v>
      </c>
      <c r="P777" t="s">
        <v>64</v>
      </c>
      <c r="W777" t="str">
        <f t="shared" si="313"/>
        <v>美國國會圖書分類法</v>
      </c>
      <c r="Y777" t="str">
        <f>("HF5548.32")</f>
        <v>HF5548.32</v>
      </c>
      <c r="Z777" t="str">
        <f t="shared" ref="Z777:Z787" si="320">("2018/08/11 13:34:51")</f>
        <v>2018/08/11 13:34:51</v>
      </c>
      <c r="AA777" t="str">
        <f t="shared" si="296"/>
        <v>catc</v>
      </c>
      <c r="AC777" t="str">
        <f>("M535")</f>
        <v>M535</v>
      </c>
      <c r="AE777" t="str">
        <f t="shared" si="318"/>
        <v>c.1</v>
      </c>
      <c r="AF777" t="str">
        <f t="shared" si="308"/>
        <v>1.可借圖書</v>
      </c>
      <c r="AG777" t="str">
        <f t="shared" si="317"/>
        <v>在架</v>
      </c>
      <c r="AI777" t="s">
        <v>65</v>
      </c>
      <c r="AK777" t="str">
        <f t="shared" si="297"/>
        <v>一般(Normal)</v>
      </c>
      <c r="AO777" t="s">
        <v>65</v>
      </c>
      <c r="AS777" t="str">
        <f>("c2000 ")</f>
        <v xml:space="preserve">c2000 </v>
      </c>
      <c r="AT777" t="str">
        <f t="shared" si="298"/>
        <v>catc</v>
      </c>
    </row>
    <row r="778" spans="1:46" x14ac:dyDescent="0.25">
      <c r="A778">
        <v>767</v>
      </c>
      <c r="B778" t="str">
        <f>("289612")</f>
        <v>289612</v>
      </c>
      <c r="C778" t="str">
        <f>("W00002803")</f>
        <v>W00002803</v>
      </c>
      <c r="D778" t="str">
        <f>("Core Java 2 /")</f>
        <v>Core Java 2 /</v>
      </c>
      <c r="E778" t="str">
        <f>("Horstmann, Cay S.,1959- ")</f>
        <v xml:space="preserve">Horstmann, Cay S.,1959- </v>
      </c>
      <c r="F778" t="str">
        <f>("Sun Microsystems Press,")</f>
        <v>Sun Microsystems Press,</v>
      </c>
      <c r="H778" t="str">
        <f t="shared" si="302"/>
        <v>圖書 book</v>
      </c>
      <c r="I778" t="str">
        <f>("DS646.21 H819 2000")</f>
        <v>DS646.21 H819 2000</v>
      </c>
      <c r="J778" t="str">
        <f>("0130894680")</f>
        <v>0130894680</v>
      </c>
      <c r="K778" t="str">
        <f>("1264")</f>
        <v>1264</v>
      </c>
      <c r="L778" t="str">
        <f t="shared" si="299"/>
        <v>2001/10/10 00:00:00</v>
      </c>
      <c r="M778" t="str">
        <f t="shared" si="319"/>
        <v>2018/08/11 13:34:51</v>
      </c>
      <c r="N778" t="str">
        <f>("2000")</f>
        <v>2000</v>
      </c>
      <c r="O778" t="str">
        <f t="shared" si="315"/>
        <v>4F西文書庫 4F Western Language Books</v>
      </c>
      <c r="P778" t="s">
        <v>64</v>
      </c>
      <c r="W778" t="str">
        <f t="shared" si="313"/>
        <v>美國國會圖書分類法</v>
      </c>
      <c r="Y778" t="str">
        <f>("DS646.21")</f>
        <v>DS646.21</v>
      </c>
      <c r="Z778" t="str">
        <f t="shared" si="320"/>
        <v>2018/08/11 13:34:51</v>
      </c>
      <c r="AA778" t="str">
        <f t="shared" si="296"/>
        <v>catc</v>
      </c>
      <c r="AC778" t="str">
        <f>("H819")</f>
        <v>H819</v>
      </c>
      <c r="AE778" t="str">
        <f t="shared" si="318"/>
        <v>c.1</v>
      </c>
      <c r="AF778" t="str">
        <f t="shared" si="308"/>
        <v>1.可借圖書</v>
      </c>
      <c r="AG778" t="str">
        <f t="shared" si="317"/>
        <v>在架</v>
      </c>
      <c r="AI778" t="s">
        <v>65</v>
      </c>
      <c r="AK778" t="str">
        <f t="shared" si="297"/>
        <v>一般(Normal)</v>
      </c>
      <c r="AO778" t="s">
        <v>65</v>
      </c>
      <c r="AS778" t="str">
        <f>("c2001 ")</f>
        <v xml:space="preserve">c2001 </v>
      </c>
      <c r="AT778" t="str">
        <f t="shared" si="298"/>
        <v>catc</v>
      </c>
    </row>
    <row r="779" spans="1:46" x14ac:dyDescent="0.25">
      <c r="A779">
        <v>768</v>
      </c>
      <c r="B779" t="str">
        <f>("289595")</f>
        <v>289595</v>
      </c>
      <c r="C779" t="str">
        <f>("W00002804")</f>
        <v>W00002804</v>
      </c>
      <c r="D779" t="str">
        <f>("Building web applications with UML / ")</f>
        <v xml:space="preserve">Building web applications with UML / </v>
      </c>
      <c r="E779" t="str">
        <f>("Conallen, Jim. ")</f>
        <v xml:space="preserve">Conallen, Jim. </v>
      </c>
      <c r="F779" t="str">
        <f>(" Addison-Wesley, ")</f>
        <v xml:space="preserve"> Addison-Wesley, </v>
      </c>
      <c r="H779" t="str">
        <f t="shared" si="302"/>
        <v>圖書 book</v>
      </c>
      <c r="I779" t="str">
        <f>("TK5105.888 C743 1999")</f>
        <v>TK5105.888 C743 1999</v>
      </c>
      <c r="J779" t="str">
        <f>("0201615770")</f>
        <v>0201615770</v>
      </c>
      <c r="K779" t="str">
        <f>("984")</f>
        <v>984</v>
      </c>
      <c r="L779" t="str">
        <f t="shared" si="299"/>
        <v>2001/10/10 00:00:00</v>
      </c>
      <c r="M779" t="str">
        <f t="shared" si="319"/>
        <v>2018/08/11 13:34:51</v>
      </c>
      <c r="N779" t="str">
        <f>("1999")</f>
        <v>1999</v>
      </c>
      <c r="O779" t="str">
        <f t="shared" si="315"/>
        <v>4F西文書庫 4F Western Language Books</v>
      </c>
      <c r="P779" t="s">
        <v>64</v>
      </c>
      <c r="W779" t="str">
        <f t="shared" si="313"/>
        <v>美國國會圖書分類法</v>
      </c>
      <c r="Y779" t="str">
        <f>("TK5105.888")</f>
        <v>TK5105.888</v>
      </c>
      <c r="Z779" t="str">
        <f t="shared" si="320"/>
        <v>2018/08/11 13:34:51</v>
      </c>
      <c r="AA779" t="str">
        <f t="shared" si="296"/>
        <v>catc</v>
      </c>
      <c r="AC779" t="str">
        <f>("C743")</f>
        <v>C743</v>
      </c>
      <c r="AE779" t="str">
        <f t="shared" si="318"/>
        <v>c.1</v>
      </c>
      <c r="AF779" t="str">
        <f t="shared" si="308"/>
        <v>1.可借圖書</v>
      </c>
      <c r="AG779" t="str">
        <f t="shared" si="317"/>
        <v>在架</v>
      </c>
      <c r="AI779" t="s">
        <v>65</v>
      </c>
      <c r="AK779" t="str">
        <f t="shared" si="297"/>
        <v>一般(Normal)</v>
      </c>
      <c r="AO779" t="s">
        <v>65</v>
      </c>
      <c r="AS779" t="str">
        <f>(" 1999. ")</f>
        <v xml:space="preserve"> 1999. </v>
      </c>
      <c r="AT779" t="str">
        <f t="shared" si="298"/>
        <v>catc</v>
      </c>
    </row>
    <row r="780" spans="1:46" x14ac:dyDescent="0.25">
      <c r="A780">
        <v>769</v>
      </c>
      <c r="B780" t="str">
        <f>("289596")</f>
        <v>289596</v>
      </c>
      <c r="C780" t="str">
        <f>("W00002805")</f>
        <v>W00002805</v>
      </c>
      <c r="D780" t="str">
        <f>("Java DEVELOPER'S GUIDE to E-Commerce with XML / ")</f>
        <v xml:space="preserve">Java DEVELOPER'S GUIDE to E-Commerce with XML / </v>
      </c>
      <c r="E780" t="str">
        <f>("Brogden, William. ")</f>
        <v xml:space="preserve">Brogden, William. </v>
      </c>
      <c r="F780" t="str">
        <f>("Sybex Inc., ")</f>
        <v xml:space="preserve">Sybex Inc., </v>
      </c>
      <c r="G780" t="str">
        <f>("1st. ")</f>
        <v xml:space="preserve">1st. </v>
      </c>
      <c r="H780" t="str">
        <f t="shared" si="302"/>
        <v>圖書 book</v>
      </c>
      <c r="I780" t="str">
        <f>("QA76.73.J38 B866 2001")</f>
        <v>QA76.73.J38 B866 2001</v>
      </c>
      <c r="J780" t="str">
        <f>("0782128270")</f>
        <v>0782128270</v>
      </c>
      <c r="K780" t="str">
        <f>("1400")</f>
        <v>1400</v>
      </c>
      <c r="L780" t="str">
        <f t="shared" si="299"/>
        <v>2001/10/10 00:00:00</v>
      </c>
      <c r="M780" t="str">
        <f t="shared" si="319"/>
        <v>2018/08/11 13:34:51</v>
      </c>
      <c r="N780" t="str">
        <f>("2001")</f>
        <v>2001</v>
      </c>
      <c r="O780" t="str">
        <f t="shared" si="315"/>
        <v>4F西文書庫 4F Western Language Books</v>
      </c>
      <c r="P780" t="s">
        <v>64</v>
      </c>
      <c r="W780" t="str">
        <f t="shared" si="313"/>
        <v>美國國會圖書分類法</v>
      </c>
      <c r="Y780" t="str">
        <f>("QA76.73.J38")</f>
        <v>QA76.73.J38</v>
      </c>
      <c r="Z780" t="str">
        <f t="shared" si="320"/>
        <v>2018/08/11 13:34:51</v>
      </c>
      <c r="AA780" t="str">
        <f t="shared" ref="AA780:AA843" si="321">("catc")</f>
        <v>catc</v>
      </c>
      <c r="AC780" t="str">
        <f>("B866")</f>
        <v>B866</v>
      </c>
      <c r="AE780" t="str">
        <f t="shared" si="318"/>
        <v>c.1</v>
      </c>
      <c r="AF780" t="str">
        <f t="shared" si="308"/>
        <v>1.可借圖書</v>
      </c>
      <c r="AG780" t="str">
        <f t="shared" si="317"/>
        <v>在架</v>
      </c>
      <c r="AI780" t="s">
        <v>65</v>
      </c>
      <c r="AK780" t="str">
        <f t="shared" ref="AK780:AK843" si="322">("一般(Normal)")</f>
        <v>一般(Normal)</v>
      </c>
      <c r="AO780" t="s">
        <v>65</v>
      </c>
      <c r="AS780" t="str">
        <f>("2001 ")</f>
        <v xml:space="preserve">2001 </v>
      </c>
      <c r="AT780" t="str">
        <f t="shared" ref="AT780:AT843" si="323">("catc")</f>
        <v>catc</v>
      </c>
    </row>
    <row r="781" spans="1:46" x14ac:dyDescent="0.25">
      <c r="A781">
        <v>770</v>
      </c>
      <c r="B781" t="str">
        <f>("289597")</f>
        <v>289597</v>
      </c>
      <c r="C781" t="str">
        <f>("W00002806")</f>
        <v>W00002806</v>
      </c>
      <c r="D781" t="str">
        <f>("Applied software architecture / ")</f>
        <v xml:space="preserve">Applied software architecture / </v>
      </c>
      <c r="E781" t="str">
        <f>("Hofmeister, Christine. ")</f>
        <v xml:space="preserve">Hofmeister, Christine. </v>
      </c>
      <c r="F781" t="str">
        <f>(" Addison-Wesley, ")</f>
        <v xml:space="preserve"> Addison-Wesley, </v>
      </c>
      <c r="H781" t="str">
        <f t="shared" si="302"/>
        <v>圖書 book</v>
      </c>
      <c r="I781" t="str">
        <f>("QA76.76.A65 H713 2000")</f>
        <v>QA76.76.A65 H713 2000</v>
      </c>
      <c r="J781" t="str">
        <f>("0201325713")</f>
        <v>0201325713</v>
      </c>
      <c r="K781" t="str">
        <f>("1264")</f>
        <v>1264</v>
      </c>
      <c r="L781" t="str">
        <f t="shared" si="299"/>
        <v>2001/10/10 00:00:00</v>
      </c>
      <c r="M781" t="str">
        <f t="shared" si="319"/>
        <v>2018/08/11 13:34:51</v>
      </c>
      <c r="N781" t="str">
        <f>("2000")</f>
        <v>2000</v>
      </c>
      <c r="O781" t="str">
        <f t="shared" si="315"/>
        <v>4F西文書庫 4F Western Language Books</v>
      </c>
      <c r="P781" t="s">
        <v>64</v>
      </c>
      <c r="W781" t="str">
        <f t="shared" si="313"/>
        <v>美國國會圖書分類法</v>
      </c>
      <c r="Y781" t="str">
        <f>("QA76.76.A65")</f>
        <v>QA76.76.A65</v>
      </c>
      <c r="Z781" t="str">
        <f t="shared" si="320"/>
        <v>2018/08/11 13:34:51</v>
      </c>
      <c r="AA781" t="str">
        <f t="shared" si="321"/>
        <v>catc</v>
      </c>
      <c r="AC781" t="str">
        <f>("H713")</f>
        <v>H713</v>
      </c>
      <c r="AE781" t="str">
        <f t="shared" si="318"/>
        <v>c.1</v>
      </c>
      <c r="AF781" t="str">
        <f t="shared" si="308"/>
        <v>1.可借圖書</v>
      </c>
      <c r="AG781" t="str">
        <f t="shared" si="317"/>
        <v>在架</v>
      </c>
      <c r="AI781" t="s">
        <v>65</v>
      </c>
      <c r="AK781" t="str">
        <f t="shared" si="322"/>
        <v>一般(Normal)</v>
      </c>
      <c r="AO781" t="s">
        <v>65</v>
      </c>
      <c r="AS781" t="str">
        <f>(" 2000. ")</f>
        <v xml:space="preserve"> 2000. </v>
      </c>
      <c r="AT781" t="str">
        <f t="shared" si="323"/>
        <v>catc</v>
      </c>
    </row>
    <row r="782" spans="1:46" x14ac:dyDescent="0.25">
      <c r="A782">
        <v>771</v>
      </c>
      <c r="B782" t="str">
        <f>("289598")</f>
        <v>289598</v>
      </c>
      <c r="C782" t="str">
        <f>("W00002807")</f>
        <v>W00002807</v>
      </c>
      <c r="D782" t="str">
        <f>("Accelerated C++ :  practical programming by example / ")</f>
        <v xml:space="preserve">Accelerated C++ :  practical programming by example / </v>
      </c>
      <c r="E782" t="str">
        <f>("Koenig, Andrew. ")</f>
        <v xml:space="preserve">Koenig, Andrew. </v>
      </c>
      <c r="F782" t="str">
        <f>(" Addison-Wesley, ")</f>
        <v xml:space="preserve"> Addison-Wesley, </v>
      </c>
      <c r="H782" t="str">
        <f t="shared" si="302"/>
        <v>圖書 book</v>
      </c>
      <c r="I782" t="str">
        <f>("QA76.73.C153 K78 2000")</f>
        <v>QA76.73.C153 K78 2000</v>
      </c>
      <c r="J782" t="str">
        <f>("020170353X")</f>
        <v>020170353X</v>
      </c>
      <c r="K782" t="str">
        <f>("952")</f>
        <v>952</v>
      </c>
      <c r="L782" t="str">
        <f t="shared" si="299"/>
        <v>2001/10/10 00:00:00</v>
      </c>
      <c r="M782" t="str">
        <f t="shared" si="319"/>
        <v>2018/08/11 13:34:51</v>
      </c>
      <c r="N782" t="str">
        <f>("2000")</f>
        <v>2000</v>
      </c>
      <c r="O782" t="str">
        <f t="shared" si="315"/>
        <v>4F西文書庫 4F Western Language Books</v>
      </c>
      <c r="P782" t="s">
        <v>64</v>
      </c>
      <c r="W782" t="str">
        <f t="shared" si="313"/>
        <v>美國國會圖書分類法</v>
      </c>
      <c r="Y782" t="str">
        <f>("QA76.73.C153")</f>
        <v>QA76.73.C153</v>
      </c>
      <c r="Z782" t="str">
        <f t="shared" si="320"/>
        <v>2018/08/11 13:34:51</v>
      </c>
      <c r="AA782" t="str">
        <f t="shared" si="321"/>
        <v>catc</v>
      </c>
      <c r="AC782" t="str">
        <f>("K78")</f>
        <v>K78</v>
      </c>
      <c r="AE782" t="str">
        <f t="shared" si="318"/>
        <v>c.1</v>
      </c>
      <c r="AF782" t="str">
        <f t="shared" si="308"/>
        <v>1.可借圖書</v>
      </c>
      <c r="AG782" t="str">
        <f t="shared" si="317"/>
        <v>在架</v>
      </c>
      <c r="AI782" t="s">
        <v>65</v>
      </c>
      <c r="AK782" t="str">
        <f t="shared" si="322"/>
        <v>一般(Normal)</v>
      </c>
      <c r="AO782" t="s">
        <v>65</v>
      </c>
      <c r="AS782" t="str">
        <f>(" c2000. ")</f>
        <v xml:space="preserve"> c2000. </v>
      </c>
      <c r="AT782" t="str">
        <f t="shared" si="323"/>
        <v>catc</v>
      </c>
    </row>
    <row r="783" spans="1:46" x14ac:dyDescent="0.25">
      <c r="A783">
        <v>772</v>
      </c>
      <c r="B783" t="str">
        <f>("289599")</f>
        <v>289599</v>
      </c>
      <c r="C783" t="str">
        <f>("W00002808")</f>
        <v>W00002808</v>
      </c>
      <c r="D783" t="str">
        <f>("e-Video :  producing Internet video as broadband technologies converge / ")</f>
        <v xml:space="preserve">e-Video :  producing Internet video as broadband technologies converge / </v>
      </c>
      <c r="E783" t="str">
        <f>("Alesso, H. P. ")</f>
        <v xml:space="preserve">Alesso, H. P. </v>
      </c>
      <c r="F783" t="str">
        <f>(" Addison-Wesley, ")</f>
        <v xml:space="preserve"> Addison-Wesley, </v>
      </c>
      <c r="H783" t="str">
        <f t="shared" si="302"/>
        <v>圖書 book</v>
      </c>
      <c r="I783" t="str">
        <f>("TK5105.887 A372 2000")</f>
        <v>TK5105.887 A372 2000</v>
      </c>
      <c r="J783" t="str">
        <f>("0201703149")</f>
        <v>0201703149</v>
      </c>
      <c r="K783" t="str">
        <f>("1264")</f>
        <v>1264</v>
      </c>
      <c r="L783" t="str">
        <f t="shared" si="299"/>
        <v>2001/10/10 00:00:00</v>
      </c>
      <c r="M783" t="str">
        <f t="shared" si="319"/>
        <v>2018/08/11 13:34:51</v>
      </c>
      <c r="N783" t="str">
        <f>("2000")</f>
        <v>2000</v>
      </c>
      <c r="O783" t="str">
        <f t="shared" si="315"/>
        <v>4F西文書庫 4F Western Language Books</v>
      </c>
      <c r="P783" t="s">
        <v>64</v>
      </c>
      <c r="W783" t="str">
        <f t="shared" si="313"/>
        <v>美國國會圖書分類法</v>
      </c>
      <c r="Y783" t="str">
        <f>("TK5105.887")</f>
        <v>TK5105.887</v>
      </c>
      <c r="Z783" t="str">
        <f t="shared" si="320"/>
        <v>2018/08/11 13:34:51</v>
      </c>
      <c r="AA783" t="str">
        <f t="shared" si="321"/>
        <v>catc</v>
      </c>
      <c r="AC783" t="str">
        <f>("A372")</f>
        <v>A372</v>
      </c>
      <c r="AE783" t="str">
        <f t="shared" si="318"/>
        <v>c.1</v>
      </c>
      <c r="AF783" t="str">
        <f t="shared" si="308"/>
        <v>1.可借圖書</v>
      </c>
      <c r="AG783" t="str">
        <f t="shared" si="317"/>
        <v>在架</v>
      </c>
      <c r="AI783" t="s">
        <v>65</v>
      </c>
      <c r="AK783" t="str">
        <f t="shared" si="322"/>
        <v>一般(Normal)</v>
      </c>
      <c r="AO783" t="s">
        <v>65</v>
      </c>
      <c r="AS783" t="str">
        <f>(" c2000. ")</f>
        <v xml:space="preserve"> c2000. </v>
      </c>
      <c r="AT783" t="str">
        <f t="shared" si="323"/>
        <v>catc</v>
      </c>
    </row>
    <row r="784" spans="1:46" x14ac:dyDescent="0.25">
      <c r="A784">
        <v>773</v>
      </c>
      <c r="B784" t="str">
        <f>("289600")</f>
        <v>289600</v>
      </c>
      <c r="C784" t="str">
        <f>("W00002809")</f>
        <v>W00002809</v>
      </c>
      <c r="D784" t="str">
        <f>("Internet email protocols : a developer's guide / ")</f>
        <v xml:space="preserve">Internet email protocols : a developer's guide / </v>
      </c>
      <c r="E784" t="str">
        <f>("Johnson, Kevin. ")</f>
        <v xml:space="preserve">Johnson, Kevin. </v>
      </c>
      <c r="F784" t="str">
        <f>("Addison-Wesley, ")</f>
        <v xml:space="preserve">Addison-Wesley, </v>
      </c>
      <c r="H784" t="str">
        <f t="shared" si="302"/>
        <v>圖書 book</v>
      </c>
      <c r="I784" t="str">
        <f>("TK5105.73 J67 2000")</f>
        <v>TK5105.73 J67 2000</v>
      </c>
      <c r="J784" t="str">
        <f>("0201432889")</f>
        <v>0201432889</v>
      </c>
      <c r="K784" t="str">
        <f>("1264")</f>
        <v>1264</v>
      </c>
      <c r="L784" t="str">
        <f t="shared" si="299"/>
        <v>2001/10/10 00:00:00</v>
      </c>
      <c r="M784" t="str">
        <f t="shared" si="319"/>
        <v>2018/08/11 13:34:51</v>
      </c>
      <c r="N784" t="str">
        <f>("2000")</f>
        <v>2000</v>
      </c>
      <c r="O784" t="str">
        <f t="shared" si="315"/>
        <v>4F西文書庫 4F Western Language Books</v>
      </c>
      <c r="P784" t="s">
        <v>64</v>
      </c>
      <c r="W784" t="str">
        <f t="shared" si="313"/>
        <v>美國國會圖書分類法</v>
      </c>
      <c r="Y784" t="str">
        <f>("TK5105.73")</f>
        <v>TK5105.73</v>
      </c>
      <c r="Z784" t="str">
        <f t="shared" si="320"/>
        <v>2018/08/11 13:34:51</v>
      </c>
      <c r="AA784" t="str">
        <f t="shared" si="321"/>
        <v>catc</v>
      </c>
      <c r="AC784" t="str">
        <f>("J67")</f>
        <v>J67</v>
      </c>
      <c r="AE784" t="str">
        <f t="shared" si="318"/>
        <v>c.1</v>
      </c>
      <c r="AF784" t="str">
        <f t="shared" si="308"/>
        <v>1.可借圖書</v>
      </c>
      <c r="AG784" t="str">
        <f t="shared" si="317"/>
        <v>在架</v>
      </c>
      <c r="AI784" t="s">
        <v>65</v>
      </c>
      <c r="AK784" t="str">
        <f t="shared" si="322"/>
        <v>一般(Normal)</v>
      </c>
      <c r="AO784" t="s">
        <v>65</v>
      </c>
      <c r="AS784" t="str">
        <f>("2000. ")</f>
        <v xml:space="preserve">2000. </v>
      </c>
      <c r="AT784" t="str">
        <f t="shared" si="323"/>
        <v>catc</v>
      </c>
    </row>
    <row r="785" spans="1:46" x14ac:dyDescent="0.25">
      <c r="A785">
        <v>774</v>
      </c>
      <c r="B785" t="str">
        <f>("289621")</f>
        <v>289621</v>
      </c>
      <c r="C785" t="str">
        <f>("W00002810")</f>
        <v>W00002810</v>
      </c>
      <c r="D785" t="str">
        <f>("Digital certificates : applied Internet security / ")</f>
        <v xml:space="preserve">Digital certificates : applied Internet security / </v>
      </c>
      <c r="E785" t="str">
        <f>("Feghhi, Jalal. ")</f>
        <v xml:space="preserve">Feghhi, Jalal. </v>
      </c>
      <c r="F785" t="str">
        <f>(" Addison-Wesley, ")</f>
        <v xml:space="preserve"> Addison-Wesley, </v>
      </c>
      <c r="H785" t="str">
        <f t="shared" si="302"/>
        <v>圖書 book</v>
      </c>
      <c r="I785" t="str">
        <f>("TK5105.875.I57 F288 1998")</f>
        <v>TK5105.875.I57 F288 1998</v>
      </c>
      <c r="J785" t="str">
        <f>("0201309807")</f>
        <v>0201309807</v>
      </c>
      <c r="K785" t="str">
        <f>("1264")</f>
        <v>1264</v>
      </c>
      <c r="L785" t="str">
        <f t="shared" si="299"/>
        <v>2001/10/10 00:00:00</v>
      </c>
      <c r="M785" t="str">
        <f t="shared" si="319"/>
        <v>2018/08/11 13:34:51</v>
      </c>
      <c r="N785" t="str">
        <f>("1998")</f>
        <v>1998</v>
      </c>
      <c r="O785" t="str">
        <f t="shared" si="315"/>
        <v>4F西文書庫 4F Western Language Books</v>
      </c>
      <c r="P785" t="s">
        <v>64</v>
      </c>
      <c r="W785" t="str">
        <f t="shared" si="313"/>
        <v>美國國會圖書分類法</v>
      </c>
      <c r="Y785" t="str">
        <f>("TK5105.875.I57")</f>
        <v>TK5105.875.I57</v>
      </c>
      <c r="Z785" t="str">
        <f t="shared" si="320"/>
        <v>2018/08/11 13:34:51</v>
      </c>
      <c r="AA785" t="str">
        <f t="shared" si="321"/>
        <v>catc</v>
      </c>
      <c r="AC785" t="str">
        <f>("F288")</f>
        <v>F288</v>
      </c>
      <c r="AE785" t="str">
        <f t="shared" si="318"/>
        <v>c.1</v>
      </c>
      <c r="AF785" t="str">
        <f t="shared" si="308"/>
        <v>1.可借圖書</v>
      </c>
      <c r="AG785" t="str">
        <f t="shared" si="317"/>
        <v>在架</v>
      </c>
      <c r="AI785" t="s">
        <v>65</v>
      </c>
      <c r="AK785" t="str">
        <f t="shared" si="322"/>
        <v>一般(Normal)</v>
      </c>
      <c r="AO785" t="s">
        <v>65</v>
      </c>
      <c r="AS785" t="str">
        <f>("c1999. ")</f>
        <v xml:space="preserve">c1999. </v>
      </c>
      <c r="AT785" t="str">
        <f t="shared" si="323"/>
        <v>catc</v>
      </c>
    </row>
    <row r="786" spans="1:46" x14ac:dyDescent="0.25">
      <c r="A786">
        <v>775</v>
      </c>
      <c r="B786" t="str">
        <f>("289622")</f>
        <v>289622</v>
      </c>
      <c r="C786" t="str">
        <f>("W00002811")</f>
        <v>W00002811</v>
      </c>
      <c r="D786" t="str">
        <f>("Sams teach yourself XML in 24 hours / ")</f>
        <v xml:space="preserve">Sams teach yourself XML in 24 hours / </v>
      </c>
      <c r="E786" t="str">
        <f>("Ashbacher, Charles. ")</f>
        <v xml:space="preserve">Ashbacher, Charles. </v>
      </c>
      <c r="F786" t="str">
        <f>("Sams, ")</f>
        <v xml:space="preserve">Sams, </v>
      </c>
      <c r="H786" t="str">
        <f t="shared" si="302"/>
        <v>圖書 book</v>
      </c>
      <c r="I786" t="str">
        <f>("QA76.76.H94 A821 2000")</f>
        <v>QA76.76.H94 A821 2000</v>
      </c>
      <c r="J786" t="str">
        <f>("0672319500")</f>
        <v>0672319500</v>
      </c>
      <c r="K786" t="str">
        <f>("704")</f>
        <v>704</v>
      </c>
      <c r="L786" t="str">
        <f t="shared" si="299"/>
        <v>2001/10/10 00:00:00</v>
      </c>
      <c r="M786" t="str">
        <f t="shared" si="319"/>
        <v>2018/08/11 13:34:51</v>
      </c>
      <c r="N786" t="str">
        <f>("2000")</f>
        <v>2000</v>
      </c>
      <c r="O786" t="str">
        <f t="shared" si="315"/>
        <v>4F西文書庫 4F Western Language Books</v>
      </c>
      <c r="P786" t="s">
        <v>64</v>
      </c>
      <c r="W786" t="str">
        <f t="shared" si="313"/>
        <v>美國國會圖書分類法</v>
      </c>
      <c r="Y786" t="str">
        <f>("QA76.76.H94")</f>
        <v>QA76.76.H94</v>
      </c>
      <c r="Z786" t="str">
        <f t="shared" si="320"/>
        <v>2018/08/11 13:34:51</v>
      </c>
      <c r="AA786" t="str">
        <f t="shared" si="321"/>
        <v>catc</v>
      </c>
      <c r="AC786" t="str">
        <f>("A821")</f>
        <v>A821</v>
      </c>
      <c r="AE786" t="str">
        <f t="shared" si="318"/>
        <v>c.1</v>
      </c>
      <c r="AF786" t="str">
        <f t="shared" si="308"/>
        <v>1.可借圖書</v>
      </c>
      <c r="AG786" t="str">
        <f t="shared" si="317"/>
        <v>在架</v>
      </c>
      <c r="AI786" t="s">
        <v>65</v>
      </c>
      <c r="AK786" t="str">
        <f t="shared" si="322"/>
        <v>一般(Normal)</v>
      </c>
      <c r="AO786" t="s">
        <v>65</v>
      </c>
      <c r="AS786" t="str">
        <f>("c2000. ")</f>
        <v xml:space="preserve">c2000. </v>
      </c>
      <c r="AT786" t="str">
        <f t="shared" si="323"/>
        <v>catc</v>
      </c>
    </row>
    <row r="787" spans="1:46" x14ac:dyDescent="0.25">
      <c r="A787">
        <v>776</v>
      </c>
      <c r="B787" t="str">
        <f>("289623")</f>
        <v>289623</v>
      </c>
      <c r="C787" t="str">
        <f>("W00002812")</f>
        <v>W00002812</v>
      </c>
      <c r="D787" t="str">
        <f>("Developing e-commerce sites : an integrated approach / ")</f>
        <v xml:space="preserve">Developing e-commerce sites : an integrated approach / </v>
      </c>
      <c r="E787" t="str">
        <f>("Sharma, Vivek. ")</f>
        <v xml:space="preserve">Sharma, Vivek. </v>
      </c>
      <c r="F787" t="str">
        <f>(" Addison-Wesley, ")</f>
        <v xml:space="preserve"> Addison-Wesley, </v>
      </c>
      <c r="H787" t="str">
        <f t="shared" si="302"/>
        <v>圖書 book</v>
      </c>
      <c r="I787" t="str">
        <f>("HF5429.12 S531 2000")</f>
        <v>HF5429.12 S531 2000</v>
      </c>
      <c r="J787" t="str">
        <f>("020165764")</f>
        <v>020165764</v>
      </c>
      <c r="K787" t="str">
        <f>("1120")</f>
        <v>1120</v>
      </c>
      <c r="L787" t="str">
        <f t="shared" ref="L787:L850" si="324">("2001/10/10 00:00:00")</f>
        <v>2001/10/10 00:00:00</v>
      </c>
      <c r="M787" t="str">
        <f t="shared" ref="M787:M798" si="325">("2018/08/11 13:34:52")</f>
        <v>2018/08/11 13:34:52</v>
      </c>
      <c r="N787" t="str">
        <f>("2000")</f>
        <v>2000</v>
      </c>
      <c r="O787" t="str">
        <f t="shared" si="315"/>
        <v>4F西文書庫 4F Western Language Books</v>
      </c>
      <c r="P787" t="s">
        <v>64</v>
      </c>
      <c r="W787" t="str">
        <f t="shared" si="313"/>
        <v>美國國會圖書分類法</v>
      </c>
      <c r="Y787" t="str">
        <f>("HF5429.12")</f>
        <v>HF5429.12</v>
      </c>
      <c r="Z787" t="str">
        <f t="shared" si="320"/>
        <v>2018/08/11 13:34:51</v>
      </c>
      <c r="AA787" t="str">
        <f t="shared" si="321"/>
        <v>catc</v>
      </c>
      <c r="AC787" t="str">
        <f>("S531")</f>
        <v>S531</v>
      </c>
      <c r="AE787" t="str">
        <f t="shared" si="318"/>
        <v>c.1</v>
      </c>
      <c r="AF787" t="str">
        <f t="shared" si="308"/>
        <v>1.可借圖書</v>
      </c>
      <c r="AG787" t="str">
        <f t="shared" si="317"/>
        <v>在架</v>
      </c>
      <c r="AI787" t="s">
        <v>65</v>
      </c>
      <c r="AK787" t="str">
        <f t="shared" si="322"/>
        <v>一般(Normal)</v>
      </c>
      <c r="AO787" t="s">
        <v>65</v>
      </c>
      <c r="AS787" t="str">
        <f>(" 2000. ")</f>
        <v xml:space="preserve"> 2000. </v>
      </c>
      <c r="AT787" t="str">
        <f t="shared" si="323"/>
        <v>catc</v>
      </c>
    </row>
    <row r="788" spans="1:46" x14ac:dyDescent="0.25">
      <c r="A788">
        <v>777</v>
      </c>
      <c r="B788" t="str">
        <f>("289624")</f>
        <v>289624</v>
      </c>
      <c r="C788" t="str">
        <f>("W00002813")</f>
        <v>W00002813</v>
      </c>
      <c r="D788" t="str">
        <f>("Java I/O  ")</f>
        <v xml:space="preserve">Java I/O  </v>
      </c>
      <c r="E788" t="str">
        <f>("Harold, Elliotte Rusty. ")</f>
        <v xml:space="preserve">Harold, Elliotte Rusty. </v>
      </c>
      <c r="F788" t="str">
        <f>("O'Reilly, ")</f>
        <v xml:space="preserve">O'Reilly, </v>
      </c>
      <c r="G788" t="str">
        <f>("1st ed. ")</f>
        <v xml:space="preserve">1st ed. </v>
      </c>
      <c r="H788" t="str">
        <f t="shared" si="302"/>
        <v>圖書 book</v>
      </c>
      <c r="I788" t="str">
        <f>("QA76.73.J38 H292 1999")</f>
        <v>QA76.73.J38 H292 1999</v>
      </c>
      <c r="J788" t="str">
        <f>("1565924851")</f>
        <v>1565924851</v>
      </c>
      <c r="K788" t="str">
        <f>("984")</f>
        <v>984</v>
      </c>
      <c r="L788" t="str">
        <f t="shared" si="324"/>
        <v>2001/10/10 00:00:00</v>
      </c>
      <c r="M788" t="str">
        <f t="shared" si="325"/>
        <v>2018/08/11 13:34:52</v>
      </c>
      <c r="N788" t="str">
        <f>("1999")</f>
        <v>1999</v>
      </c>
      <c r="O788" t="str">
        <f t="shared" si="315"/>
        <v>4F西文書庫 4F Western Language Books</v>
      </c>
      <c r="P788" t="s">
        <v>64</v>
      </c>
      <c r="W788" t="str">
        <f t="shared" si="313"/>
        <v>美國國會圖書分類法</v>
      </c>
      <c r="Y788" t="str">
        <f>("QA76.73.J38")</f>
        <v>QA76.73.J38</v>
      </c>
      <c r="Z788" t="str">
        <f t="shared" ref="Z788:Z798" si="326">("2018/08/11 13:34:52")</f>
        <v>2018/08/11 13:34:52</v>
      </c>
      <c r="AA788" t="str">
        <f t="shared" si="321"/>
        <v>catc</v>
      </c>
      <c r="AC788" t="str">
        <f>("H292")</f>
        <v>H292</v>
      </c>
      <c r="AE788" t="str">
        <f t="shared" si="318"/>
        <v>c.1</v>
      </c>
      <c r="AF788" t="str">
        <f t="shared" si="308"/>
        <v>1.可借圖書</v>
      </c>
      <c r="AG788" t="str">
        <f t="shared" si="317"/>
        <v>在架</v>
      </c>
      <c r="AI788" t="s">
        <v>65</v>
      </c>
      <c r="AK788" t="str">
        <f t="shared" si="322"/>
        <v>一般(Normal)</v>
      </c>
      <c r="AO788" t="s">
        <v>65</v>
      </c>
      <c r="AS788" t="str">
        <f>(" c1999. ")</f>
        <v xml:space="preserve"> c1999. </v>
      </c>
      <c r="AT788" t="str">
        <f t="shared" si="323"/>
        <v>catc</v>
      </c>
    </row>
    <row r="789" spans="1:46" x14ac:dyDescent="0.25">
      <c r="A789">
        <v>778</v>
      </c>
      <c r="B789" t="str">
        <f>("289625")</f>
        <v>289625</v>
      </c>
      <c r="C789" t="str">
        <f>("W00002814")</f>
        <v>W00002814</v>
      </c>
      <c r="D789" t="str">
        <f>("Java performance tuning / ")</f>
        <v xml:space="preserve">Java performance tuning / </v>
      </c>
      <c r="E789" t="str">
        <f>("Shirazi, Jack. ")</f>
        <v xml:space="preserve">Shirazi, Jack. </v>
      </c>
      <c r="F789" t="str">
        <f>("O'Reilly, ")</f>
        <v xml:space="preserve">O'Reilly, </v>
      </c>
      <c r="G789" t="str">
        <f>("1st ed. ")</f>
        <v xml:space="preserve">1st ed. </v>
      </c>
      <c r="H789" t="str">
        <f t="shared" ref="H789:H812" si="327">("圖書 book")</f>
        <v>圖書 book</v>
      </c>
      <c r="I789" t="str">
        <f>("QA76.73.J38 S558 2000")</f>
        <v>QA76.73.J38 S558 2000</v>
      </c>
      <c r="J789" t="str">
        <f>("0596000154")</f>
        <v>0596000154</v>
      </c>
      <c r="K789" t="str">
        <f>("984")</f>
        <v>984</v>
      </c>
      <c r="L789" t="str">
        <f t="shared" si="324"/>
        <v>2001/10/10 00:00:00</v>
      </c>
      <c r="M789" t="str">
        <f t="shared" si="325"/>
        <v>2018/08/11 13:34:52</v>
      </c>
      <c r="N789" t="str">
        <f>("2000")</f>
        <v>2000</v>
      </c>
      <c r="O789" t="str">
        <f t="shared" si="315"/>
        <v>4F西文書庫 4F Western Language Books</v>
      </c>
      <c r="P789" t="s">
        <v>64</v>
      </c>
      <c r="W789" t="str">
        <f t="shared" si="313"/>
        <v>美國國會圖書分類法</v>
      </c>
      <c r="Y789" t="str">
        <f>("QA76.73.J38")</f>
        <v>QA76.73.J38</v>
      </c>
      <c r="Z789" t="str">
        <f t="shared" si="326"/>
        <v>2018/08/11 13:34:52</v>
      </c>
      <c r="AA789" t="str">
        <f t="shared" si="321"/>
        <v>catc</v>
      </c>
      <c r="AC789" t="str">
        <f>("S558")</f>
        <v>S558</v>
      </c>
      <c r="AE789" t="str">
        <f t="shared" si="318"/>
        <v>c.1</v>
      </c>
      <c r="AF789" t="str">
        <f t="shared" si="308"/>
        <v>1.可借圖書</v>
      </c>
      <c r="AG789" t="str">
        <f t="shared" si="317"/>
        <v>在架</v>
      </c>
      <c r="AI789" t="s">
        <v>65</v>
      </c>
      <c r="AK789" t="str">
        <f t="shared" si="322"/>
        <v>一般(Normal)</v>
      </c>
      <c r="AO789" t="s">
        <v>65</v>
      </c>
      <c r="AS789" t="str">
        <f>("c2000. ")</f>
        <v xml:space="preserve">c2000. </v>
      </c>
      <c r="AT789" t="str">
        <f t="shared" si="323"/>
        <v>catc</v>
      </c>
    </row>
    <row r="790" spans="1:46" x14ac:dyDescent="0.25">
      <c r="A790">
        <v>779</v>
      </c>
      <c r="B790" t="str">
        <f>("289626")</f>
        <v>289626</v>
      </c>
      <c r="C790" t="str">
        <f>("W00002815")</f>
        <v>W00002815</v>
      </c>
      <c r="D790" t="str">
        <f>("MCSE windows 2000 professional exam notes / ")</f>
        <v xml:space="preserve">MCSE windows 2000 professional exam notes / </v>
      </c>
      <c r="E790" t="str">
        <f>("Chellis, James. ")</f>
        <v xml:space="preserve">Chellis, James. </v>
      </c>
      <c r="F790" t="str">
        <f>("Sybex Inc., ")</f>
        <v xml:space="preserve">Sybex Inc., </v>
      </c>
      <c r="G790" t="str">
        <f>("1st. ")</f>
        <v xml:space="preserve">1st. </v>
      </c>
      <c r="H790" t="str">
        <f t="shared" si="327"/>
        <v>圖書 book</v>
      </c>
      <c r="I790" t="str">
        <f>("QA76.3 C516 2000")</f>
        <v>QA76.3 C516 2000</v>
      </c>
      <c r="J790" t="str">
        <f>("0782127533")</f>
        <v>0782127533</v>
      </c>
      <c r="K790" t="str">
        <f>("704")</f>
        <v>704</v>
      </c>
      <c r="L790" t="str">
        <f t="shared" si="324"/>
        <v>2001/10/10 00:00:00</v>
      </c>
      <c r="M790" t="str">
        <f t="shared" si="325"/>
        <v>2018/08/11 13:34:52</v>
      </c>
      <c r="N790" t="str">
        <f>("2000")</f>
        <v>2000</v>
      </c>
      <c r="O790" t="str">
        <f t="shared" si="315"/>
        <v>4F西文書庫 4F Western Language Books</v>
      </c>
      <c r="P790" t="s">
        <v>64</v>
      </c>
      <c r="W790" t="str">
        <f t="shared" si="313"/>
        <v>美國國會圖書分類法</v>
      </c>
      <c r="Y790" t="str">
        <f>("QA76.3")</f>
        <v>QA76.3</v>
      </c>
      <c r="Z790" t="str">
        <f t="shared" si="326"/>
        <v>2018/08/11 13:34:52</v>
      </c>
      <c r="AA790" t="str">
        <f t="shared" si="321"/>
        <v>catc</v>
      </c>
      <c r="AC790" t="str">
        <f>("C516")</f>
        <v>C516</v>
      </c>
      <c r="AE790" t="str">
        <f t="shared" si="318"/>
        <v>c.1</v>
      </c>
      <c r="AF790" t="str">
        <f t="shared" si="308"/>
        <v>1.可借圖書</v>
      </c>
      <c r="AG790" t="str">
        <f t="shared" si="317"/>
        <v>在架</v>
      </c>
      <c r="AI790" t="s">
        <v>65</v>
      </c>
      <c r="AK790" t="str">
        <f t="shared" si="322"/>
        <v>一般(Normal)</v>
      </c>
      <c r="AO790" t="s">
        <v>65</v>
      </c>
      <c r="AS790" t="str">
        <f>("2000. ")</f>
        <v xml:space="preserve">2000. </v>
      </c>
      <c r="AT790" t="str">
        <f t="shared" si="323"/>
        <v>catc</v>
      </c>
    </row>
    <row r="791" spans="1:46" x14ac:dyDescent="0.25">
      <c r="A791">
        <v>780</v>
      </c>
      <c r="B791" t="str">
        <f>("289627")</f>
        <v>289627</v>
      </c>
      <c r="C791" t="str">
        <f>("W00002816")</f>
        <v>W00002816</v>
      </c>
      <c r="D791" t="str">
        <f>("Java cryptography / ")</f>
        <v xml:space="preserve">Java cryptography / </v>
      </c>
      <c r="E791" t="str">
        <f>("Knudsen, Jonathan. ")</f>
        <v xml:space="preserve">Knudsen, Jonathan. </v>
      </c>
      <c r="F791" t="str">
        <f>(" O'Reilly, ")</f>
        <v xml:space="preserve"> O'Reilly, </v>
      </c>
      <c r="H791" t="str">
        <f t="shared" si="327"/>
        <v>圖書 book</v>
      </c>
      <c r="I791" t="str">
        <f>("QA76.73.J38 K67 1998")</f>
        <v>QA76.73.J38 K67 1998</v>
      </c>
      <c r="J791" t="str">
        <f>("1565924029")</f>
        <v>1565924029</v>
      </c>
      <c r="K791" t="str">
        <f>("840")</f>
        <v>840</v>
      </c>
      <c r="L791" t="str">
        <f t="shared" si="324"/>
        <v>2001/10/10 00:00:00</v>
      </c>
      <c r="M791" t="str">
        <f t="shared" si="325"/>
        <v>2018/08/11 13:34:52</v>
      </c>
      <c r="N791" t="str">
        <f>("1998")</f>
        <v>1998</v>
      </c>
      <c r="O791" t="str">
        <f t="shared" si="315"/>
        <v>4F西文書庫 4F Western Language Books</v>
      </c>
      <c r="P791" t="s">
        <v>64</v>
      </c>
      <c r="S791" t="str">
        <f>("xvi, 344 p. : ")</f>
        <v xml:space="preserve">xvi, 344 p. : </v>
      </c>
      <c r="T791" t="str">
        <f>(" ill. ; ")</f>
        <v xml:space="preserve"> ill. ; </v>
      </c>
      <c r="U791" t="str">
        <f>(" 23 cm. ")</f>
        <v xml:space="preserve"> 23 cm. </v>
      </c>
      <c r="W791" t="str">
        <f t="shared" si="313"/>
        <v>美國國會圖書分類法</v>
      </c>
      <c r="Y791" t="str">
        <f>("QA76.73.J38")</f>
        <v>QA76.73.J38</v>
      </c>
      <c r="Z791" t="str">
        <f t="shared" si="326"/>
        <v>2018/08/11 13:34:52</v>
      </c>
      <c r="AA791" t="str">
        <f t="shared" si="321"/>
        <v>catc</v>
      </c>
      <c r="AC791" t="str">
        <f>("K67")</f>
        <v>K67</v>
      </c>
      <c r="AE791" t="str">
        <f t="shared" si="318"/>
        <v>c.1</v>
      </c>
      <c r="AF791" t="str">
        <f t="shared" si="308"/>
        <v>1.可借圖書</v>
      </c>
      <c r="AG791" t="str">
        <f t="shared" si="317"/>
        <v>在架</v>
      </c>
      <c r="AI791" t="s">
        <v>65</v>
      </c>
      <c r="AK791" t="str">
        <f t="shared" si="322"/>
        <v>一般(Normal)</v>
      </c>
      <c r="AO791" t="s">
        <v>65</v>
      </c>
      <c r="AS791" t="str">
        <f>(" c1998. ")</f>
        <v xml:space="preserve"> c1998. </v>
      </c>
      <c r="AT791" t="str">
        <f t="shared" si="323"/>
        <v>catc</v>
      </c>
    </row>
    <row r="792" spans="1:46" x14ac:dyDescent="0.25">
      <c r="A792">
        <v>781</v>
      </c>
      <c r="B792" t="str">
        <f>("289628")</f>
        <v>289628</v>
      </c>
      <c r="C792" t="str">
        <f>("W00002817")</f>
        <v>W00002817</v>
      </c>
      <c r="D792" t="str">
        <f>("Developing applications with Exchange 2000 : a programmers reference / ")</f>
        <v xml:space="preserve">Developing applications with Exchange 2000 : a programmers reference / </v>
      </c>
      <c r="E792" t="str">
        <f>("Jamison, Scott. ")</f>
        <v xml:space="preserve">Jamison, Scott. </v>
      </c>
      <c r="F792" t="str">
        <f>(" Addison-Wesley, ")</f>
        <v xml:space="preserve"> Addison-Wesley, </v>
      </c>
      <c r="H792" t="str">
        <f t="shared" si="327"/>
        <v>圖書 book</v>
      </c>
      <c r="I792" t="str">
        <f>("QA76.76.D47 J32 2000")</f>
        <v>QA76.76.D47 J32 2000</v>
      </c>
      <c r="J792" t="str">
        <f>("0201703793")</f>
        <v>0201703793</v>
      </c>
      <c r="K792" t="str">
        <f>("1400")</f>
        <v>1400</v>
      </c>
      <c r="L792" t="str">
        <f t="shared" si="324"/>
        <v>2001/10/10 00:00:00</v>
      </c>
      <c r="M792" t="str">
        <f t="shared" si="325"/>
        <v>2018/08/11 13:34:52</v>
      </c>
      <c r="N792" t="str">
        <f>("2000")</f>
        <v>2000</v>
      </c>
      <c r="O792" t="str">
        <f t="shared" si="315"/>
        <v>4F西文書庫 4F Western Language Books</v>
      </c>
      <c r="P792" t="s">
        <v>64</v>
      </c>
      <c r="W792" t="str">
        <f t="shared" si="313"/>
        <v>美國國會圖書分類法</v>
      </c>
      <c r="Y792" t="str">
        <f>("QA76.76.D47")</f>
        <v>QA76.76.D47</v>
      </c>
      <c r="Z792" t="str">
        <f t="shared" si="326"/>
        <v>2018/08/11 13:34:52</v>
      </c>
      <c r="AA792" t="str">
        <f t="shared" si="321"/>
        <v>catc</v>
      </c>
      <c r="AC792" t="str">
        <f>("J32")</f>
        <v>J32</v>
      </c>
      <c r="AE792" t="str">
        <f t="shared" si="318"/>
        <v>c.1</v>
      </c>
      <c r="AF792" t="str">
        <f t="shared" si="308"/>
        <v>1.可借圖書</v>
      </c>
      <c r="AG792" t="str">
        <f t="shared" si="317"/>
        <v>在架</v>
      </c>
      <c r="AI792" t="s">
        <v>65</v>
      </c>
      <c r="AK792" t="str">
        <f t="shared" si="322"/>
        <v>一般(Normal)</v>
      </c>
      <c r="AO792" t="s">
        <v>65</v>
      </c>
      <c r="AS792" t="str">
        <f>(" 2001. ")</f>
        <v xml:space="preserve"> 2001. </v>
      </c>
      <c r="AT792" t="str">
        <f t="shared" si="323"/>
        <v>catc</v>
      </c>
    </row>
    <row r="793" spans="1:46" x14ac:dyDescent="0.25">
      <c r="A793">
        <v>782</v>
      </c>
      <c r="B793" t="str">
        <f>("289613")</f>
        <v>289613</v>
      </c>
      <c r="C793" t="str">
        <f>("W00002818")</f>
        <v>W00002818</v>
      </c>
      <c r="D793" t="str">
        <f>("C#Essentials ")</f>
        <v xml:space="preserve">C#Essentials </v>
      </c>
      <c r="E793" t="str">
        <f>("Albahari, Ben")</f>
        <v>Albahari, Ben</v>
      </c>
      <c r="F793" t="str">
        <f>("O'REILLY, ")</f>
        <v xml:space="preserve">O'REILLY, </v>
      </c>
      <c r="H793" t="str">
        <f t="shared" si="327"/>
        <v>圖書 book</v>
      </c>
      <c r="I793" t="str">
        <f>("QA76.73.C15 A326 2001")</f>
        <v>QA76.73.C15 A326 2001</v>
      </c>
      <c r="J793" t="str">
        <f>("0596000790")</f>
        <v>0596000790</v>
      </c>
      <c r="K793" t="str">
        <f>("560")</f>
        <v>560</v>
      </c>
      <c r="L793" t="str">
        <f t="shared" si="324"/>
        <v>2001/10/10 00:00:00</v>
      </c>
      <c r="M793" t="str">
        <f t="shared" si="325"/>
        <v>2018/08/11 13:34:52</v>
      </c>
      <c r="N793" t="str">
        <f>("2001")</f>
        <v>2001</v>
      </c>
      <c r="O793" t="str">
        <f t="shared" si="315"/>
        <v>4F西文書庫 4F Western Language Books</v>
      </c>
      <c r="P793" t="s">
        <v>64</v>
      </c>
      <c r="W793" t="str">
        <f t="shared" si="313"/>
        <v>美國國會圖書分類法</v>
      </c>
      <c r="Y793" t="str">
        <f>("QA76.73.C15")</f>
        <v>QA76.73.C15</v>
      </c>
      <c r="Z793" t="str">
        <f t="shared" si="326"/>
        <v>2018/08/11 13:34:52</v>
      </c>
      <c r="AA793" t="str">
        <f t="shared" si="321"/>
        <v>catc</v>
      </c>
      <c r="AC793" t="str">
        <f>("A326")</f>
        <v>A326</v>
      </c>
      <c r="AE793" t="str">
        <f t="shared" si="318"/>
        <v>c.1</v>
      </c>
      <c r="AF793" t="str">
        <f t="shared" si="308"/>
        <v>1.可借圖書</v>
      </c>
      <c r="AG793" t="str">
        <f t="shared" si="317"/>
        <v>在架</v>
      </c>
      <c r="AI793" t="s">
        <v>65</v>
      </c>
      <c r="AK793" t="str">
        <f t="shared" si="322"/>
        <v>一般(Normal)</v>
      </c>
      <c r="AO793" t="s">
        <v>65</v>
      </c>
      <c r="AS793" t="str">
        <f>("2001.")</f>
        <v>2001.</v>
      </c>
      <c r="AT793" t="str">
        <f t="shared" si="323"/>
        <v>catc</v>
      </c>
    </row>
    <row r="794" spans="1:46" x14ac:dyDescent="0.25">
      <c r="A794">
        <v>783</v>
      </c>
      <c r="B794" t="str">
        <f>("289629")</f>
        <v>289629</v>
      </c>
      <c r="C794" t="str">
        <f>("W00002819")</f>
        <v>W00002819</v>
      </c>
      <c r="D794" t="str">
        <f>("MCSE :  Windows 2000 network infrastructure design : exam notes / ")</f>
        <v xml:space="preserve">MCSE :  Windows 2000 network infrastructure design : exam notes / </v>
      </c>
      <c r="E794" t="str">
        <f>("Heldman, William. ")</f>
        <v xml:space="preserve">Heldman, William. </v>
      </c>
      <c r="F794" t="str">
        <f>("Sybex, ")</f>
        <v xml:space="preserve">Sybex, </v>
      </c>
      <c r="H794" t="str">
        <f t="shared" si="327"/>
        <v>圖書 book</v>
      </c>
      <c r="I794" t="str">
        <f>("QA76.3 H474 2000")</f>
        <v>QA76.3 H474 2000</v>
      </c>
      <c r="J794" t="str">
        <f>("0782127673")</f>
        <v>0782127673</v>
      </c>
      <c r="K794" t="str">
        <f>("704")</f>
        <v>704</v>
      </c>
      <c r="L794" t="str">
        <f t="shared" si="324"/>
        <v>2001/10/10 00:00:00</v>
      </c>
      <c r="M794" t="str">
        <f t="shared" si="325"/>
        <v>2018/08/11 13:34:52</v>
      </c>
      <c r="N794" t="str">
        <f>("2000")</f>
        <v>2000</v>
      </c>
      <c r="O794" t="str">
        <f t="shared" si="315"/>
        <v>4F西文書庫 4F Western Language Books</v>
      </c>
      <c r="P794" t="s">
        <v>64</v>
      </c>
      <c r="W794" t="str">
        <f t="shared" si="313"/>
        <v>美國國會圖書分類法</v>
      </c>
      <c r="Y794" t="str">
        <f>("QA76.3")</f>
        <v>QA76.3</v>
      </c>
      <c r="Z794" t="str">
        <f t="shared" si="326"/>
        <v>2018/08/11 13:34:52</v>
      </c>
      <c r="AA794" t="str">
        <f t="shared" si="321"/>
        <v>catc</v>
      </c>
      <c r="AC794" t="str">
        <f>("H474")</f>
        <v>H474</v>
      </c>
      <c r="AE794" t="str">
        <f t="shared" si="318"/>
        <v>c.1</v>
      </c>
      <c r="AF794" t="str">
        <f t="shared" si="308"/>
        <v>1.可借圖書</v>
      </c>
      <c r="AG794" t="str">
        <f t="shared" si="317"/>
        <v>在架</v>
      </c>
      <c r="AI794" t="s">
        <v>65</v>
      </c>
      <c r="AK794" t="str">
        <f t="shared" si="322"/>
        <v>一般(Normal)</v>
      </c>
      <c r="AO794" t="s">
        <v>65</v>
      </c>
      <c r="AS794" t="str">
        <f>("c2001. ")</f>
        <v xml:space="preserve">c2001. </v>
      </c>
      <c r="AT794" t="str">
        <f t="shared" si="323"/>
        <v>catc</v>
      </c>
    </row>
    <row r="795" spans="1:46" x14ac:dyDescent="0.25">
      <c r="A795">
        <v>784</v>
      </c>
      <c r="B795" t="str">
        <f>("289630")</f>
        <v>289630</v>
      </c>
      <c r="C795" t="str">
        <f>("W00002820")</f>
        <v>W00002820</v>
      </c>
      <c r="D795" t="str">
        <f>("C++ FAQs /")</f>
        <v>C++ FAQs /</v>
      </c>
      <c r="E795" t="str">
        <f>("Cline, Marshall P ")</f>
        <v xml:space="preserve">Cline, Marshall P </v>
      </c>
      <c r="F795" t="str">
        <f>("Addison-Wesley,")</f>
        <v>Addison-Wesley,</v>
      </c>
      <c r="G795" t="str">
        <f>("2nd ed ")</f>
        <v xml:space="preserve">2nd ed </v>
      </c>
      <c r="H795" t="str">
        <f t="shared" si="327"/>
        <v>圖書 book</v>
      </c>
      <c r="I795" t="str">
        <f>("QA76.73.C153 C641 1998")</f>
        <v>QA76.73.C153 C641 1998</v>
      </c>
      <c r="J795" t="str">
        <f>("0201309831")</f>
        <v>0201309831</v>
      </c>
      <c r="K795" t="str">
        <f>("1120")</f>
        <v>1120</v>
      </c>
      <c r="L795" t="str">
        <f t="shared" si="324"/>
        <v>2001/10/10 00:00:00</v>
      </c>
      <c r="M795" t="str">
        <f t="shared" si="325"/>
        <v>2018/08/11 13:34:52</v>
      </c>
      <c r="N795" t="str">
        <f>("1998")</f>
        <v>1998</v>
      </c>
      <c r="O795" t="str">
        <f t="shared" si="315"/>
        <v>4F西文書庫 4F Western Language Books</v>
      </c>
      <c r="P795" t="s">
        <v>64</v>
      </c>
      <c r="W795" t="str">
        <f t="shared" si="313"/>
        <v>美國國會圖書分類法</v>
      </c>
      <c r="Y795" t="str">
        <f>("QA76.73.C153")</f>
        <v>QA76.73.C153</v>
      </c>
      <c r="Z795" t="str">
        <f t="shared" si="326"/>
        <v>2018/08/11 13:34:52</v>
      </c>
      <c r="AA795" t="str">
        <f t="shared" si="321"/>
        <v>catc</v>
      </c>
      <c r="AC795" t="str">
        <f>("C641")</f>
        <v>C641</v>
      </c>
      <c r="AE795" t="str">
        <f t="shared" si="318"/>
        <v>c.1</v>
      </c>
      <c r="AF795" t="str">
        <f t="shared" si="308"/>
        <v>1.可借圖書</v>
      </c>
      <c r="AG795" t="str">
        <f t="shared" si="317"/>
        <v>在架</v>
      </c>
      <c r="AI795" t="s">
        <v>65</v>
      </c>
      <c r="AK795" t="str">
        <f t="shared" si="322"/>
        <v>一般(Normal)</v>
      </c>
      <c r="AO795" t="s">
        <v>65</v>
      </c>
      <c r="AS795" t="str">
        <f>("c1999 ")</f>
        <v xml:space="preserve">c1999 </v>
      </c>
      <c r="AT795" t="str">
        <f t="shared" si="323"/>
        <v>catc</v>
      </c>
    </row>
    <row r="796" spans="1:46" x14ac:dyDescent="0.25">
      <c r="A796">
        <v>785</v>
      </c>
      <c r="B796" t="str">
        <f>("289631")</f>
        <v>289631</v>
      </c>
      <c r="C796" t="str">
        <f>("W00002821")</f>
        <v>W00002821</v>
      </c>
      <c r="D796" t="str">
        <f>("e-Business readiness : a customer-focused framework / ")</f>
        <v xml:space="preserve">e-Business readiness : a customer-focused framework / </v>
      </c>
      <c r="E796" t="str">
        <f>("Craig, James, 1967- ")</f>
        <v xml:space="preserve">Craig, James, 1967- </v>
      </c>
      <c r="F796" t="str">
        <f>(" Addison-Wesley, ")</f>
        <v xml:space="preserve"> Addison-Wesley, </v>
      </c>
      <c r="H796" t="str">
        <f t="shared" si="327"/>
        <v>圖書 book</v>
      </c>
      <c r="I796" t="str">
        <f>("HF5548.32 C886 2001")</f>
        <v>HF5548.32 C886 2001</v>
      </c>
      <c r="J796" t="str">
        <f>("0201710064")</f>
        <v>0201710064</v>
      </c>
      <c r="K796" t="str">
        <f>("1120")</f>
        <v>1120</v>
      </c>
      <c r="L796" t="str">
        <f t="shared" si="324"/>
        <v>2001/10/10 00:00:00</v>
      </c>
      <c r="M796" t="str">
        <f t="shared" si="325"/>
        <v>2018/08/11 13:34:52</v>
      </c>
      <c r="N796" t="str">
        <f>("2001")</f>
        <v>2001</v>
      </c>
      <c r="O796" t="str">
        <f t="shared" ref="O796:O812" si="328">("4F西文書庫 4F Western Language Books")</f>
        <v>4F西文書庫 4F Western Language Books</v>
      </c>
      <c r="P796" t="s">
        <v>64</v>
      </c>
      <c r="W796" t="str">
        <f t="shared" si="313"/>
        <v>美國國會圖書分類法</v>
      </c>
      <c r="Y796" t="str">
        <f>("HF5548.32")</f>
        <v>HF5548.32</v>
      </c>
      <c r="Z796" t="str">
        <f t="shared" si="326"/>
        <v>2018/08/11 13:34:52</v>
      </c>
      <c r="AA796" t="str">
        <f t="shared" si="321"/>
        <v>catc</v>
      </c>
      <c r="AC796" t="str">
        <f>("C886")</f>
        <v>C886</v>
      </c>
      <c r="AE796" t="str">
        <f t="shared" si="318"/>
        <v>c.1</v>
      </c>
      <c r="AF796" t="str">
        <f t="shared" si="308"/>
        <v>1.可借圖書</v>
      </c>
      <c r="AG796" t="str">
        <f t="shared" ref="AG796:AG812" si="329">("在架")</f>
        <v>在架</v>
      </c>
      <c r="AI796" t="s">
        <v>65</v>
      </c>
      <c r="AK796" t="str">
        <f t="shared" si="322"/>
        <v>一般(Normal)</v>
      </c>
      <c r="AO796" t="s">
        <v>65</v>
      </c>
      <c r="AS796" t="str">
        <f>("c2001. ")</f>
        <v xml:space="preserve">c2001. </v>
      </c>
      <c r="AT796" t="str">
        <f t="shared" si="323"/>
        <v>catc</v>
      </c>
    </row>
    <row r="797" spans="1:46" x14ac:dyDescent="0.25">
      <c r="A797">
        <v>786</v>
      </c>
      <c r="B797" t="str">
        <f>("289632")</f>
        <v>289632</v>
      </c>
      <c r="C797" t="str">
        <f>("W00002822")</f>
        <v>W00002822</v>
      </c>
      <c r="D797" t="str">
        <f>("Advanced programming for the Java 2 platform / ")</f>
        <v xml:space="preserve">Advanced programming for the Java 2 platform / </v>
      </c>
      <c r="E797" t="str">
        <f>("Austin, Calvin. ")</f>
        <v xml:space="preserve">Austin, Calvin. </v>
      </c>
      <c r="F797" t="str">
        <f>(" Addison-Wesley, ")</f>
        <v xml:space="preserve"> Addison-Wesley, </v>
      </c>
      <c r="H797" t="str">
        <f t="shared" si="327"/>
        <v>圖書 book</v>
      </c>
      <c r="I797" t="str">
        <f>("QA76.76.A65 A953 2001")</f>
        <v>QA76.76.A65 A953 2001</v>
      </c>
      <c r="J797" t="str">
        <f>("0201715015")</f>
        <v>0201715015</v>
      </c>
      <c r="K797" t="str">
        <f>("1264")</f>
        <v>1264</v>
      </c>
      <c r="L797" t="str">
        <f t="shared" si="324"/>
        <v>2001/10/10 00:00:00</v>
      </c>
      <c r="M797" t="str">
        <f t="shared" si="325"/>
        <v>2018/08/11 13:34:52</v>
      </c>
      <c r="N797" t="str">
        <f>("2001")</f>
        <v>2001</v>
      </c>
      <c r="O797" t="str">
        <f t="shared" si="328"/>
        <v>4F西文書庫 4F Western Language Books</v>
      </c>
      <c r="P797" t="s">
        <v>64</v>
      </c>
      <c r="S797" t="str">
        <f>("xvi, 381 p. ; ")</f>
        <v xml:space="preserve">xvi, 381 p. ; </v>
      </c>
      <c r="U797" t="str">
        <f>("24 cm. ")</f>
        <v xml:space="preserve">24 cm. </v>
      </c>
      <c r="V797" t="str">
        <f>("+1 computer laser optical disc (4 3/4 in.) ")</f>
        <v xml:space="preserve">+1 computer laser optical disc (4 3/4 in.) </v>
      </c>
      <c r="W797" t="str">
        <f t="shared" si="313"/>
        <v>美國國會圖書分類法</v>
      </c>
      <c r="Y797" t="str">
        <f>("QA76.76.A65")</f>
        <v>QA76.76.A65</v>
      </c>
      <c r="Z797" t="str">
        <f t="shared" si="326"/>
        <v>2018/08/11 13:34:52</v>
      </c>
      <c r="AA797" t="str">
        <f t="shared" si="321"/>
        <v>catc</v>
      </c>
      <c r="AC797" t="str">
        <f>("A953")</f>
        <v>A953</v>
      </c>
      <c r="AE797" t="str">
        <f t="shared" si="318"/>
        <v>c.1</v>
      </c>
      <c r="AF797" t="str">
        <f t="shared" si="308"/>
        <v>1.可借圖書</v>
      </c>
      <c r="AG797" t="str">
        <f t="shared" si="329"/>
        <v>在架</v>
      </c>
      <c r="AI797" t="s">
        <v>65</v>
      </c>
      <c r="AK797" t="str">
        <f t="shared" si="322"/>
        <v>一般(Normal)</v>
      </c>
      <c r="AO797" t="s">
        <v>65</v>
      </c>
      <c r="AS797" t="str">
        <f>("c2000. ")</f>
        <v xml:space="preserve">c2000. </v>
      </c>
      <c r="AT797" t="str">
        <f t="shared" si="323"/>
        <v>catc</v>
      </c>
    </row>
    <row r="798" spans="1:46" x14ac:dyDescent="0.25">
      <c r="A798">
        <v>787</v>
      </c>
      <c r="B798" t="str">
        <f>("289633")</f>
        <v>289633</v>
      </c>
      <c r="C798" t="str">
        <f>("W00002823")</f>
        <v>W00002823</v>
      </c>
      <c r="D798" t="str">
        <f>("Advanced CORBA programming with C++ / ")</f>
        <v xml:space="preserve">Advanced CORBA programming with C++ / </v>
      </c>
      <c r="E798" t="str">
        <f>("Henning, Michi. ")</f>
        <v xml:space="preserve">Henning, Michi. </v>
      </c>
      <c r="F798" t="str">
        <f>(" Addison-Wesley, ")</f>
        <v xml:space="preserve"> Addison-Wesley, </v>
      </c>
      <c r="H798" t="str">
        <f t="shared" si="327"/>
        <v>圖書 book</v>
      </c>
      <c r="I798" t="str">
        <f>("QA76.73.C153 H517 1999")</f>
        <v>QA76.73.C153 H517 1999</v>
      </c>
      <c r="J798" t="str">
        <f>("0201379279")</f>
        <v>0201379279</v>
      </c>
      <c r="K798" t="str">
        <f>("1120")</f>
        <v>1120</v>
      </c>
      <c r="L798" t="str">
        <f t="shared" si="324"/>
        <v>2001/10/10 00:00:00</v>
      </c>
      <c r="M798" t="str">
        <f t="shared" si="325"/>
        <v>2018/08/11 13:34:52</v>
      </c>
      <c r="N798" t="str">
        <f>("1999")</f>
        <v>1999</v>
      </c>
      <c r="O798" t="str">
        <f t="shared" si="328"/>
        <v>4F西文書庫 4F Western Language Books</v>
      </c>
      <c r="P798" t="s">
        <v>64</v>
      </c>
      <c r="W798" t="str">
        <f t="shared" si="313"/>
        <v>美國國會圖書分類法</v>
      </c>
      <c r="Y798" t="str">
        <f>("QA76.73.C153")</f>
        <v>QA76.73.C153</v>
      </c>
      <c r="Z798" t="str">
        <f t="shared" si="326"/>
        <v>2018/08/11 13:34:52</v>
      </c>
      <c r="AA798" t="str">
        <f t="shared" si="321"/>
        <v>catc</v>
      </c>
      <c r="AC798" t="str">
        <f>("H517")</f>
        <v>H517</v>
      </c>
      <c r="AE798" t="str">
        <f t="shared" ref="AE798:AE806" si="330">("c.1")</f>
        <v>c.1</v>
      </c>
      <c r="AF798" t="str">
        <f t="shared" si="308"/>
        <v>1.可借圖書</v>
      </c>
      <c r="AG798" t="str">
        <f t="shared" si="329"/>
        <v>在架</v>
      </c>
      <c r="AI798" t="s">
        <v>65</v>
      </c>
      <c r="AK798" t="str">
        <f t="shared" si="322"/>
        <v>一般(Normal)</v>
      </c>
      <c r="AO798" t="s">
        <v>65</v>
      </c>
      <c r="AS798" t="str">
        <f>("c1999. ")</f>
        <v xml:space="preserve">c1999. </v>
      </c>
      <c r="AT798" t="str">
        <f t="shared" si="323"/>
        <v>catc</v>
      </c>
    </row>
    <row r="799" spans="1:46" x14ac:dyDescent="0.25">
      <c r="A799">
        <v>788</v>
      </c>
      <c r="B799" t="str">
        <f>("289614")</f>
        <v>289614</v>
      </c>
      <c r="C799" t="str">
        <f>("W00002824")</f>
        <v>W00002824</v>
      </c>
      <c r="D799" t="str">
        <f>("Applying Enterprise JavaBeans :  component-based development for the J2EE platform / ")</f>
        <v xml:space="preserve">Applying Enterprise JavaBeans :  component-based development for the J2EE platform / </v>
      </c>
      <c r="E799" t="str">
        <f>("Matena, Vlada. ")</f>
        <v xml:space="preserve">Matena, Vlada. </v>
      </c>
      <c r="F799" t="str">
        <f>(" Addison-Wesley, ")</f>
        <v xml:space="preserve"> Addison-Wesley, </v>
      </c>
      <c r="H799" t="str">
        <f t="shared" si="327"/>
        <v>圖書 book</v>
      </c>
      <c r="I799" t="str">
        <f>("QA76.73.J38 M425 2000")</f>
        <v>QA76.73.J38 M425 2000</v>
      </c>
      <c r="J799" t="str">
        <f>("0201702673")</f>
        <v>0201702673</v>
      </c>
      <c r="K799" t="str">
        <f>("1120")</f>
        <v>1120</v>
      </c>
      <c r="L799" t="str">
        <f t="shared" si="324"/>
        <v>2001/10/10 00:00:00</v>
      </c>
      <c r="M799" t="str">
        <f>("2018/08/11 13:34:53")</f>
        <v>2018/08/11 13:34:53</v>
      </c>
      <c r="N799" t="str">
        <f>("2000")</f>
        <v>2000</v>
      </c>
      <c r="O799" t="str">
        <f t="shared" si="328"/>
        <v>4F西文書庫 4F Western Language Books</v>
      </c>
      <c r="P799" t="s">
        <v>64</v>
      </c>
      <c r="W799" t="str">
        <f t="shared" si="313"/>
        <v>美國國會圖書分類法</v>
      </c>
      <c r="Y799" t="str">
        <f>("QA76.73.J38")</f>
        <v>QA76.73.J38</v>
      </c>
      <c r="Z799" t="str">
        <f>("2018/08/11 13:34:53")</f>
        <v>2018/08/11 13:34:53</v>
      </c>
      <c r="AA799" t="str">
        <f t="shared" si="321"/>
        <v>catc</v>
      </c>
      <c r="AC799" t="str">
        <f>("M425")</f>
        <v>M425</v>
      </c>
      <c r="AE799" t="str">
        <f t="shared" si="330"/>
        <v>c.1</v>
      </c>
      <c r="AF799" t="str">
        <f t="shared" si="308"/>
        <v>1.可借圖書</v>
      </c>
      <c r="AG799" t="str">
        <f t="shared" si="329"/>
        <v>在架</v>
      </c>
      <c r="AI799" t="s">
        <v>65</v>
      </c>
      <c r="AK799" t="str">
        <f t="shared" si="322"/>
        <v>一般(Normal)</v>
      </c>
      <c r="AO799" t="s">
        <v>65</v>
      </c>
      <c r="AS799" t="str">
        <f>(" c2001. ")</f>
        <v xml:space="preserve"> c2001. </v>
      </c>
      <c r="AT799" t="str">
        <f t="shared" si="323"/>
        <v>catc</v>
      </c>
    </row>
    <row r="800" spans="1:46" x14ac:dyDescent="0.25">
      <c r="A800">
        <v>789</v>
      </c>
      <c r="B800" t="str">
        <f>("289615")</f>
        <v>289615</v>
      </c>
      <c r="C800" t="str">
        <f>("W00002825")</f>
        <v>W00002825</v>
      </c>
      <c r="D800" t="str">
        <f>("Java 2 platform, enterprise edition : platform and component specifications / ")</f>
        <v xml:space="preserve">Java 2 platform, enterprise edition : platform and component specifications / </v>
      </c>
      <c r="E800" t="str">
        <f>("Shannon, Bill, 1955-  ")</f>
        <v xml:space="preserve">Shannon, Bill, 1955-  </v>
      </c>
      <c r="F800" t="str">
        <f>("Addison-Wesley, ")</f>
        <v xml:space="preserve">Addison-Wesley, </v>
      </c>
      <c r="H800" t="str">
        <f t="shared" si="327"/>
        <v>圖書 book</v>
      </c>
      <c r="I800" t="str">
        <f>("QA76.73.J38 S524 2000")</f>
        <v>QA76.73.J38 S524 2000</v>
      </c>
      <c r="J800" t="str">
        <f>("0201704560")</f>
        <v>0201704560</v>
      </c>
      <c r="K800" t="str">
        <f>("1264")</f>
        <v>1264</v>
      </c>
      <c r="L800" t="str">
        <f t="shared" si="324"/>
        <v>2001/10/10 00:00:00</v>
      </c>
      <c r="M800" t="str">
        <f>("2018/08/11 13:34:53")</f>
        <v>2018/08/11 13:34:53</v>
      </c>
      <c r="N800" t="str">
        <f>("2000")</f>
        <v>2000</v>
      </c>
      <c r="O800" t="str">
        <f t="shared" si="328"/>
        <v>4F西文書庫 4F Western Language Books</v>
      </c>
      <c r="P800" t="s">
        <v>64</v>
      </c>
      <c r="W800" t="str">
        <f t="shared" si="313"/>
        <v>美國國會圖書分類法</v>
      </c>
      <c r="Y800" t="str">
        <f>("QA76.73.J38")</f>
        <v>QA76.73.J38</v>
      </c>
      <c r="Z800" t="str">
        <f>("2018/08/11 13:34:53")</f>
        <v>2018/08/11 13:34:53</v>
      </c>
      <c r="AA800" t="str">
        <f t="shared" si="321"/>
        <v>catc</v>
      </c>
      <c r="AC800" t="str">
        <f>("S524")</f>
        <v>S524</v>
      </c>
      <c r="AE800" t="str">
        <f t="shared" si="330"/>
        <v>c.1</v>
      </c>
      <c r="AF800" t="str">
        <f t="shared" si="308"/>
        <v>1.可借圖書</v>
      </c>
      <c r="AG800" t="str">
        <f t="shared" si="329"/>
        <v>在架</v>
      </c>
      <c r="AI800" t="s">
        <v>65</v>
      </c>
      <c r="AK800" t="str">
        <f t="shared" si="322"/>
        <v>一般(Normal)</v>
      </c>
      <c r="AO800" t="s">
        <v>65</v>
      </c>
      <c r="AS800" t="str">
        <f>("c2000. ")</f>
        <v xml:space="preserve">c2000. </v>
      </c>
      <c r="AT800" t="str">
        <f t="shared" si="323"/>
        <v>catc</v>
      </c>
    </row>
    <row r="801" spans="1:46" x14ac:dyDescent="0.25">
      <c r="A801">
        <v>790</v>
      </c>
      <c r="B801" t="str">
        <f>("289616")</f>
        <v>289616</v>
      </c>
      <c r="C801" t="str">
        <f>("W00002826")</f>
        <v>W00002826</v>
      </c>
      <c r="D801" t="str">
        <f>("e-Directories : ")</f>
        <v xml:space="preserve">e-Directories : </v>
      </c>
      <c r="E801" t="str">
        <f>("House, Daniel E. ")</f>
        <v xml:space="preserve">House, Daniel E. </v>
      </c>
      <c r="F801" t="str">
        <f>("Addison-Wesley, ")</f>
        <v xml:space="preserve">Addison-Wesley, </v>
      </c>
      <c r="H801" t="str">
        <f t="shared" si="327"/>
        <v>圖書 book</v>
      </c>
      <c r="I801" t="str">
        <f>("TK5105.595 H842 2000")</f>
        <v>TK5105.595 H842 2000</v>
      </c>
      <c r="J801" t="str">
        <f>("0201700395")</f>
        <v>0201700395</v>
      </c>
      <c r="K801" t="str">
        <f>("1120")</f>
        <v>1120</v>
      </c>
      <c r="L801" t="str">
        <f t="shared" si="324"/>
        <v>2001/10/10 00:00:00</v>
      </c>
      <c r="M801" t="str">
        <f>("2018/08/11 13:34:53")</f>
        <v>2018/08/11 13:34:53</v>
      </c>
      <c r="N801" t="str">
        <f>("2000")</f>
        <v>2000</v>
      </c>
      <c r="O801" t="str">
        <f t="shared" si="328"/>
        <v>4F西文書庫 4F Western Language Books</v>
      </c>
      <c r="P801" t="s">
        <v>64</v>
      </c>
      <c r="W801" t="str">
        <f t="shared" si="313"/>
        <v>美國國會圖書分類法</v>
      </c>
      <c r="Y801" t="str">
        <f>("TK5105.595")</f>
        <v>TK5105.595</v>
      </c>
      <c r="Z801" t="str">
        <f>("2018/08/11 13:34:53")</f>
        <v>2018/08/11 13:34:53</v>
      </c>
      <c r="AA801" t="str">
        <f t="shared" si="321"/>
        <v>catc</v>
      </c>
      <c r="AC801" t="str">
        <f>("H842")</f>
        <v>H842</v>
      </c>
      <c r="AE801" t="str">
        <f t="shared" si="330"/>
        <v>c.1</v>
      </c>
      <c r="AF801" t="str">
        <f t="shared" ref="AF801:AF812" si="331">("1.可借圖書")</f>
        <v>1.可借圖書</v>
      </c>
      <c r="AG801" t="str">
        <f t="shared" si="329"/>
        <v>在架</v>
      </c>
      <c r="AI801" t="s">
        <v>65</v>
      </c>
      <c r="AK801" t="str">
        <f t="shared" si="322"/>
        <v>一般(Normal)</v>
      </c>
      <c r="AO801" t="s">
        <v>65</v>
      </c>
      <c r="AS801" t="str">
        <f>("c2000. ")</f>
        <v xml:space="preserve">c2000. </v>
      </c>
      <c r="AT801" t="str">
        <f t="shared" si="323"/>
        <v>catc</v>
      </c>
    </row>
    <row r="802" spans="1:46" x14ac:dyDescent="0.25">
      <c r="A802">
        <v>791</v>
      </c>
      <c r="B802" t="str">
        <f>("289617")</f>
        <v>289617</v>
      </c>
      <c r="C802" t="str">
        <f>("W00002827")</f>
        <v>W00002827</v>
      </c>
      <c r="D802" t="str">
        <f>("Java threads  ")</f>
        <v xml:space="preserve">Java threads  </v>
      </c>
      <c r="E802" t="str">
        <f>("Oaks, Scott. ")</f>
        <v xml:space="preserve">Oaks, Scott. </v>
      </c>
      <c r="F802" t="str">
        <f>("O'Reilly &amp; Associates, ")</f>
        <v xml:space="preserve">O'Reilly &amp; Associates, </v>
      </c>
      <c r="G802" t="str">
        <f>("2nd ed. ")</f>
        <v xml:space="preserve">2nd ed. </v>
      </c>
      <c r="H802" t="str">
        <f t="shared" si="327"/>
        <v>圖書 book</v>
      </c>
      <c r="I802" t="str">
        <f>("QA76.73.J38 O11-2 1999")</f>
        <v>QA76.73.J38 O11-2 1999</v>
      </c>
      <c r="J802" t="str">
        <f>("1565924185")</f>
        <v>1565924185</v>
      </c>
      <c r="K802" t="str">
        <f>("984")</f>
        <v>984</v>
      </c>
      <c r="L802" t="str">
        <f t="shared" si="324"/>
        <v>2001/10/10 00:00:00</v>
      </c>
      <c r="M802" t="str">
        <f>("2018/08/11 13:34:53")</f>
        <v>2018/08/11 13:34:53</v>
      </c>
      <c r="N802" t="str">
        <f>("1999")</f>
        <v>1999</v>
      </c>
      <c r="O802" t="str">
        <f t="shared" si="328"/>
        <v>4F西文書庫 4F Western Language Books</v>
      </c>
      <c r="P802" t="s">
        <v>64</v>
      </c>
      <c r="W802" t="str">
        <f t="shared" si="313"/>
        <v>美國國會圖書分類法</v>
      </c>
      <c r="Y802" t="str">
        <f>("QA76.73.J38")</f>
        <v>QA76.73.J38</v>
      </c>
      <c r="Z802" t="str">
        <f>("2018/08/11 13:34:53")</f>
        <v>2018/08/11 13:34:53</v>
      </c>
      <c r="AA802" t="str">
        <f t="shared" si="321"/>
        <v>catc</v>
      </c>
      <c r="AC802" t="str">
        <f>("O11-2")</f>
        <v>O11-2</v>
      </c>
      <c r="AE802" t="str">
        <f t="shared" si="330"/>
        <v>c.1</v>
      </c>
      <c r="AF802" t="str">
        <f t="shared" si="331"/>
        <v>1.可借圖書</v>
      </c>
      <c r="AG802" t="str">
        <f t="shared" si="329"/>
        <v>在架</v>
      </c>
      <c r="AI802" t="s">
        <v>65</v>
      </c>
      <c r="AK802" t="str">
        <f t="shared" si="322"/>
        <v>一般(Normal)</v>
      </c>
      <c r="AO802" t="s">
        <v>65</v>
      </c>
      <c r="AS802" t="str">
        <f>("c1999. ")</f>
        <v xml:space="preserve">c1999. </v>
      </c>
      <c r="AT802" t="str">
        <f t="shared" si="323"/>
        <v>catc</v>
      </c>
    </row>
    <row r="803" spans="1:46" x14ac:dyDescent="0.25">
      <c r="A803">
        <v>792</v>
      </c>
      <c r="B803" t="str">
        <f>("289618")</f>
        <v>289618</v>
      </c>
      <c r="C803" t="str">
        <f>("W00002828")</f>
        <v>W00002828</v>
      </c>
      <c r="D803" t="str">
        <f>("Java security  ")</f>
        <v xml:space="preserve">Java security  </v>
      </c>
      <c r="E803" t="str">
        <f>("Oaks, Scott. ")</f>
        <v xml:space="preserve">Oaks, Scott. </v>
      </c>
      <c r="F803" t="str">
        <f>("O'Reilly, ")</f>
        <v xml:space="preserve">O'Reilly, </v>
      </c>
      <c r="G803" t="str">
        <f>("1st ed. ")</f>
        <v xml:space="preserve">1st ed. </v>
      </c>
      <c r="H803" t="str">
        <f t="shared" si="327"/>
        <v>圖書 book</v>
      </c>
      <c r="I803" t="str">
        <f>("QA76.73.J38 O11 1998")</f>
        <v>QA76.73.J38 O11 1998</v>
      </c>
      <c r="J803" t="str">
        <f>("1565924037")</f>
        <v>1565924037</v>
      </c>
      <c r="K803" t="str">
        <f>("984")</f>
        <v>984</v>
      </c>
      <c r="L803" t="str">
        <f t="shared" si="324"/>
        <v>2001/10/10 00:00:00</v>
      </c>
      <c r="M803" t="str">
        <f>("2018/08/11 13:34:53")</f>
        <v>2018/08/11 13:34:53</v>
      </c>
      <c r="N803" t="str">
        <f>("1998")</f>
        <v>1998</v>
      </c>
      <c r="O803" t="str">
        <f t="shared" si="328"/>
        <v>4F西文書庫 4F Western Language Books</v>
      </c>
      <c r="P803" t="s">
        <v>64</v>
      </c>
      <c r="W803" t="str">
        <f t="shared" si="313"/>
        <v>美國國會圖書分類法</v>
      </c>
      <c r="Y803" t="str">
        <f>("QA76.73.J38")</f>
        <v>QA76.73.J38</v>
      </c>
      <c r="Z803" t="str">
        <f>("2018/08/11 13:34:53")</f>
        <v>2018/08/11 13:34:53</v>
      </c>
      <c r="AA803" t="str">
        <f t="shared" si="321"/>
        <v>catc</v>
      </c>
      <c r="AC803" t="str">
        <f>("O11")</f>
        <v>O11</v>
      </c>
      <c r="AE803" t="str">
        <f t="shared" si="330"/>
        <v>c.1</v>
      </c>
      <c r="AF803" t="str">
        <f t="shared" si="331"/>
        <v>1.可借圖書</v>
      </c>
      <c r="AG803" t="str">
        <f t="shared" si="329"/>
        <v>在架</v>
      </c>
      <c r="AI803" t="s">
        <v>65</v>
      </c>
      <c r="AK803" t="str">
        <f t="shared" si="322"/>
        <v>一般(Normal)</v>
      </c>
      <c r="AO803" t="s">
        <v>65</v>
      </c>
      <c r="AS803" t="str">
        <f>("c1998. ")</f>
        <v xml:space="preserve">c1998. </v>
      </c>
      <c r="AT803" t="str">
        <f t="shared" si="323"/>
        <v>catc</v>
      </c>
    </row>
    <row r="804" spans="1:46" x14ac:dyDescent="0.25">
      <c r="A804">
        <v>793</v>
      </c>
      <c r="B804" t="str">
        <f>("288115")</f>
        <v>288115</v>
      </c>
      <c r="C804" t="str">
        <f>("W00002829")</f>
        <v>W00002829</v>
      </c>
      <c r="D804" t="str">
        <f>("B2B application integration : e-business--enable your enterprise / ")</f>
        <v xml:space="preserve">B2B application integration : e-business--enable your enterprise / </v>
      </c>
      <c r="E804" t="str">
        <f>("Linthicum, David S., 1962- ")</f>
        <v xml:space="preserve">Linthicum, David S., 1962- </v>
      </c>
      <c r="F804" t="str">
        <f>("Addison-Wesley, ")</f>
        <v xml:space="preserve">Addison-Wesley, </v>
      </c>
      <c r="H804" t="str">
        <f t="shared" si="327"/>
        <v>圖書 book</v>
      </c>
      <c r="I804" t="str">
        <f>("QA76.76.A65 L761 2001")</f>
        <v>QA76.76.A65 L761 2001</v>
      </c>
      <c r="J804" t="str">
        <f>("0201709368")</f>
        <v>0201709368</v>
      </c>
      <c r="K804" t="str">
        <f>("1120")</f>
        <v>1120</v>
      </c>
      <c r="L804" t="str">
        <f t="shared" si="324"/>
        <v>2001/10/10 00:00:00</v>
      </c>
      <c r="M804" t="str">
        <f>("2018/08/11 13:32:26")</f>
        <v>2018/08/11 13:32:26</v>
      </c>
      <c r="N804" t="str">
        <f>("2001")</f>
        <v>2001</v>
      </c>
      <c r="O804" t="str">
        <f t="shared" si="328"/>
        <v>4F西文書庫 4F Western Language Books</v>
      </c>
      <c r="P804" t="s">
        <v>64</v>
      </c>
      <c r="S804" t="str">
        <f>("xxi, 408 p. : ")</f>
        <v xml:space="preserve">xxi, 408 p. : </v>
      </c>
      <c r="T804" t="str">
        <f>("ill. ; ")</f>
        <v xml:space="preserve">ill. ; </v>
      </c>
      <c r="U804" t="str">
        <f>("24 cm.")</f>
        <v>24 cm.</v>
      </c>
      <c r="W804" t="str">
        <f t="shared" si="313"/>
        <v>美國國會圖書分類法</v>
      </c>
      <c r="Y804" t="str">
        <f>("QA76.76.A65")</f>
        <v>QA76.76.A65</v>
      </c>
      <c r="Z804" t="str">
        <f>("2018/08/11 13:32:26")</f>
        <v>2018/08/11 13:32:26</v>
      </c>
      <c r="AA804" t="str">
        <f t="shared" si="321"/>
        <v>catc</v>
      </c>
      <c r="AC804" t="str">
        <f>("L761")</f>
        <v>L761</v>
      </c>
      <c r="AE804" t="str">
        <f t="shared" si="330"/>
        <v>c.1</v>
      </c>
      <c r="AF804" t="str">
        <f t="shared" si="331"/>
        <v>1.可借圖書</v>
      </c>
      <c r="AG804" t="str">
        <f t="shared" si="329"/>
        <v>在架</v>
      </c>
      <c r="AI804" t="s">
        <v>65</v>
      </c>
      <c r="AK804" t="str">
        <f t="shared" si="322"/>
        <v>一般(Normal)</v>
      </c>
      <c r="AO804" t="s">
        <v>65</v>
      </c>
      <c r="AS804" t="str">
        <f>("2001. ")</f>
        <v xml:space="preserve">2001. </v>
      </c>
      <c r="AT804" t="str">
        <f t="shared" si="323"/>
        <v>catc</v>
      </c>
    </row>
    <row r="805" spans="1:46" x14ac:dyDescent="0.25">
      <c r="A805">
        <v>794</v>
      </c>
      <c r="B805" t="str">
        <f>("289634")</f>
        <v>289634</v>
      </c>
      <c r="C805" t="str">
        <f>("W00002830")</f>
        <v>W00002830</v>
      </c>
      <c r="D805" t="str">
        <f>("Database nation : the death of privacy in the 21st century / ")</f>
        <v xml:space="preserve">Database nation : the death of privacy in the 21st century / </v>
      </c>
      <c r="E805" t="str">
        <f>("Garfinkel, Simson. ")</f>
        <v xml:space="preserve">Garfinkel, Simson. </v>
      </c>
      <c r="F805" t="str">
        <f>("O'Reilly, ")</f>
        <v xml:space="preserve">O'Reilly, </v>
      </c>
      <c r="H805" t="str">
        <f t="shared" si="327"/>
        <v>圖書 book</v>
      </c>
      <c r="I805" t="str">
        <f>("C596.2.U5 G231 2000")</f>
        <v>C596.2.U5 G231 2000</v>
      </c>
      <c r="K805" t="str">
        <f>("704")</f>
        <v>704</v>
      </c>
      <c r="L805" t="str">
        <f t="shared" si="324"/>
        <v>2001/10/10 00:00:00</v>
      </c>
      <c r="M805" t="str">
        <f>("2018/08/11 13:34:53")</f>
        <v>2018/08/11 13:34:53</v>
      </c>
      <c r="N805" t="str">
        <f>("2000")</f>
        <v>2000</v>
      </c>
      <c r="O805" t="str">
        <f t="shared" si="328"/>
        <v>4F西文書庫 4F Western Language Books</v>
      </c>
      <c r="P805" t="s">
        <v>64</v>
      </c>
      <c r="W805" t="str">
        <f t="shared" si="313"/>
        <v>美國國會圖書分類法</v>
      </c>
      <c r="Y805" t="str">
        <f>("C596.2.U5")</f>
        <v>C596.2.U5</v>
      </c>
      <c r="Z805" t="str">
        <f>("2018/08/11 13:34:53")</f>
        <v>2018/08/11 13:34:53</v>
      </c>
      <c r="AA805" t="str">
        <f t="shared" si="321"/>
        <v>catc</v>
      </c>
      <c r="AC805" t="str">
        <f>("G231")</f>
        <v>G231</v>
      </c>
      <c r="AE805" t="str">
        <f t="shared" si="330"/>
        <v>c.1</v>
      </c>
      <c r="AF805" t="str">
        <f t="shared" si="331"/>
        <v>1.可借圖書</v>
      </c>
      <c r="AG805" t="str">
        <f t="shared" si="329"/>
        <v>在架</v>
      </c>
      <c r="AI805" t="s">
        <v>65</v>
      </c>
      <c r="AK805" t="str">
        <f t="shared" si="322"/>
        <v>一般(Normal)</v>
      </c>
      <c r="AO805" t="s">
        <v>65</v>
      </c>
      <c r="AS805" t="str">
        <f>("c2000. ")</f>
        <v xml:space="preserve">c2000. </v>
      </c>
      <c r="AT805" t="str">
        <f t="shared" si="323"/>
        <v>catc</v>
      </c>
    </row>
    <row r="806" spans="1:46" x14ac:dyDescent="0.25">
      <c r="A806">
        <v>795</v>
      </c>
      <c r="B806" t="str">
        <f>("289635")</f>
        <v>289635</v>
      </c>
      <c r="C806" t="str">
        <f>("W00002831")</f>
        <v>W00002831</v>
      </c>
      <c r="D806" t="str">
        <f>("Ad hoc networking / ")</f>
        <v xml:space="preserve">Ad hoc networking / </v>
      </c>
      <c r="E806" t="str">
        <f>("Perkins, Charles E.1951- ")</f>
        <v xml:space="preserve">Perkins, Charles E.1951- </v>
      </c>
      <c r="F806" t="str">
        <f>(" Addison-Wesley, ")</f>
        <v xml:space="preserve"> Addison-Wesley, </v>
      </c>
      <c r="H806" t="str">
        <f t="shared" si="327"/>
        <v>圖書 book</v>
      </c>
      <c r="I806" t="str">
        <f>("TK5105.5 P448 2001")</f>
        <v>TK5105.5 P448 2001</v>
      </c>
      <c r="J806" t="str">
        <f>("0201309769")</f>
        <v>0201309769</v>
      </c>
      <c r="K806" t="str">
        <f>("1400")</f>
        <v>1400</v>
      </c>
      <c r="L806" t="str">
        <f t="shared" si="324"/>
        <v>2001/10/10 00:00:00</v>
      </c>
      <c r="M806" t="str">
        <f>("2018/08/11 13:34:53")</f>
        <v>2018/08/11 13:34:53</v>
      </c>
      <c r="N806" t="str">
        <f>("2001")</f>
        <v>2001</v>
      </c>
      <c r="O806" t="str">
        <f t="shared" si="328"/>
        <v>4F西文書庫 4F Western Language Books</v>
      </c>
      <c r="P806" t="s">
        <v>64</v>
      </c>
      <c r="W806" t="str">
        <f t="shared" si="313"/>
        <v>美國國會圖書分類法</v>
      </c>
      <c r="Y806" t="str">
        <f>("TK5105.5")</f>
        <v>TK5105.5</v>
      </c>
      <c r="Z806" t="str">
        <f>("2018/08/11 13:34:53")</f>
        <v>2018/08/11 13:34:53</v>
      </c>
      <c r="AA806" t="str">
        <f t="shared" si="321"/>
        <v>catc</v>
      </c>
      <c r="AC806" t="str">
        <f>("P448")</f>
        <v>P448</v>
      </c>
      <c r="AE806" t="str">
        <f t="shared" si="330"/>
        <v>c.1</v>
      </c>
      <c r="AF806" t="str">
        <f t="shared" si="331"/>
        <v>1.可借圖書</v>
      </c>
      <c r="AG806" t="str">
        <f t="shared" si="329"/>
        <v>在架</v>
      </c>
      <c r="AI806" t="s">
        <v>65</v>
      </c>
      <c r="AK806" t="str">
        <f t="shared" si="322"/>
        <v>一般(Normal)</v>
      </c>
      <c r="AO806" t="s">
        <v>65</v>
      </c>
      <c r="AS806" t="str">
        <f>(" c2001. ")</f>
        <v xml:space="preserve"> c2001. </v>
      </c>
      <c r="AT806" t="str">
        <f t="shared" si="323"/>
        <v>catc</v>
      </c>
    </row>
    <row r="807" spans="1:46" x14ac:dyDescent="0.25">
      <c r="A807">
        <v>796</v>
      </c>
      <c r="B807" t="str">
        <f>("289636")</f>
        <v>289636</v>
      </c>
      <c r="C807" t="str">
        <f>("W00002832")</f>
        <v>W00002832</v>
      </c>
      <c r="D807" t="str">
        <f>("Oracle performance tuning / ")</f>
        <v xml:space="preserve">Oracle performance tuning / </v>
      </c>
      <c r="E807" t="str">
        <f>("Gurry, Mark. ")</f>
        <v xml:space="preserve">Gurry, Mark. </v>
      </c>
      <c r="F807" t="str">
        <f>("O'Reilly &amp; Associates, ")</f>
        <v xml:space="preserve">O'Reilly &amp; Associates, </v>
      </c>
      <c r="G807" t="str">
        <f>("2nd ed. ")</f>
        <v xml:space="preserve">2nd ed. </v>
      </c>
      <c r="H807" t="str">
        <f t="shared" si="327"/>
        <v>圖書 book</v>
      </c>
      <c r="I807" t="str">
        <f>("QA76.9.D3 G978 1996 c.2")</f>
        <v>QA76.9.D3 G978 1996 c.2</v>
      </c>
      <c r="J807" t="str">
        <f>("1565922379")</f>
        <v>1565922379</v>
      </c>
      <c r="K807" t="str">
        <f>("1344")</f>
        <v>1344</v>
      </c>
      <c r="L807" t="str">
        <f t="shared" si="324"/>
        <v>2001/10/10 00:00:00</v>
      </c>
      <c r="M807" t="str">
        <f>("2018/08/11 13:34:53")</f>
        <v>2018/08/11 13:34:53</v>
      </c>
      <c r="N807" t="str">
        <f>("1996")</f>
        <v>1996</v>
      </c>
      <c r="O807" t="str">
        <f t="shared" si="328"/>
        <v>4F西文書庫 4F Western Language Books</v>
      </c>
      <c r="P807" t="s">
        <v>64</v>
      </c>
      <c r="W807" t="str">
        <f t="shared" si="313"/>
        <v>美國國會圖書分類法</v>
      </c>
      <c r="Y807" t="str">
        <f>("QA76.9.D3")</f>
        <v>QA76.9.D3</v>
      </c>
      <c r="Z807" t="str">
        <f>("2018/08/11 13:34:53")</f>
        <v>2018/08/11 13:34:53</v>
      </c>
      <c r="AA807" t="str">
        <f t="shared" si="321"/>
        <v>catc</v>
      </c>
      <c r="AC807" t="str">
        <f>("G978")</f>
        <v>G978</v>
      </c>
      <c r="AE807" t="str">
        <f>("c.2")</f>
        <v>c.2</v>
      </c>
      <c r="AF807" t="str">
        <f t="shared" si="331"/>
        <v>1.可借圖書</v>
      </c>
      <c r="AG807" t="str">
        <f t="shared" si="329"/>
        <v>在架</v>
      </c>
      <c r="AI807" t="s">
        <v>65</v>
      </c>
      <c r="AK807" t="str">
        <f t="shared" si="322"/>
        <v>一般(Normal)</v>
      </c>
      <c r="AO807" t="s">
        <v>65</v>
      </c>
      <c r="AS807" t="str">
        <f>("1996. ")</f>
        <v xml:space="preserve">1996. </v>
      </c>
      <c r="AT807" t="str">
        <f t="shared" si="323"/>
        <v>catc</v>
      </c>
    </row>
    <row r="808" spans="1:46" x14ac:dyDescent="0.25">
      <c r="A808">
        <v>797</v>
      </c>
      <c r="B808" t="str">
        <f>("289637")</f>
        <v>289637</v>
      </c>
      <c r="C808" t="str">
        <f>("W00002833")</f>
        <v>W00002833</v>
      </c>
      <c r="D808" t="str">
        <f>("Palm OS programming Bible / ")</f>
        <v xml:space="preserve">Palm OS programming Bible / </v>
      </c>
      <c r="E808" t="str">
        <f>("Foster, Lonnon R., 1972- ")</f>
        <v xml:space="preserve">Foster, Lonnon R., 1972- </v>
      </c>
      <c r="F808" t="str">
        <f>("IDG Books Worldwide, ")</f>
        <v xml:space="preserve">IDG Books Worldwide, </v>
      </c>
      <c r="H808" t="str">
        <f t="shared" si="327"/>
        <v>圖書 book</v>
      </c>
      <c r="I808" t="str">
        <f>("QA76.76.O63 F754 2000")</f>
        <v>QA76.76.O63 F754 2000</v>
      </c>
      <c r="J808" t="str">
        <f>("0764546767")</f>
        <v>0764546767</v>
      </c>
      <c r="K808" t="str">
        <f>("1120")</f>
        <v>1120</v>
      </c>
      <c r="L808" t="str">
        <f t="shared" si="324"/>
        <v>2001/10/10 00:00:00</v>
      </c>
      <c r="M808" t="str">
        <f>("2018/08/11 13:34:53")</f>
        <v>2018/08/11 13:34:53</v>
      </c>
      <c r="N808" t="str">
        <f>("2000")</f>
        <v>2000</v>
      </c>
      <c r="O808" t="str">
        <f t="shared" si="328"/>
        <v>4F西文書庫 4F Western Language Books</v>
      </c>
      <c r="P808" t="s">
        <v>64</v>
      </c>
      <c r="W808" t="str">
        <f t="shared" si="313"/>
        <v>美國國會圖書分類法</v>
      </c>
      <c r="Y808" t="str">
        <f>("QA76.76.O63")</f>
        <v>QA76.76.O63</v>
      </c>
      <c r="Z808" t="str">
        <f>("2018/08/11 13:34:53")</f>
        <v>2018/08/11 13:34:53</v>
      </c>
      <c r="AA808" t="str">
        <f t="shared" si="321"/>
        <v>catc</v>
      </c>
      <c r="AC808" t="str">
        <f>("F754")</f>
        <v>F754</v>
      </c>
      <c r="AE808" t="str">
        <f t="shared" ref="AE808:AE839" si="332">("c.1")</f>
        <v>c.1</v>
      </c>
      <c r="AF808" t="str">
        <f t="shared" si="331"/>
        <v>1.可借圖書</v>
      </c>
      <c r="AG808" t="str">
        <f t="shared" si="329"/>
        <v>在架</v>
      </c>
      <c r="AI808" t="s">
        <v>65</v>
      </c>
      <c r="AK808" t="str">
        <f t="shared" si="322"/>
        <v>一般(Normal)</v>
      </c>
      <c r="AO808" t="s">
        <v>65</v>
      </c>
      <c r="AS808" t="str">
        <f>("c2000. ")</f>
        <v xml:space="preserve">c2000. </v>
      </c>
      <c r="AT808" t="str">
        <f t="shared" si="323"/>
        <v>catc</v>
      </c>
    </row>
    <row r="809" spans="1:46" x14ac:dyDescent="0.25">
      <c r="A809">
        <v>798</v>
      </c>
      <c r="B809" t="str">
        <f>("289638")</f>
        <v>289638</v>
      </c>
      <c r="C809" t="str">
        <f>("W00002834")</f>
        <v>W00002834</v>
      </c>
      <c r="D809" t="str">
        <f>("Crystal reports 8 for dummies / ")</f>
        <v xml:space="preserve">Crystal reports 8 for dummies / </v>
      </c>
      <c r="E809" t="str">
        <f>("Wolf, Douglas J., 1956- ")</f>
        <v xml:space="preserve">Wolf, Douglas J., 1956- </v>
      </c>
      <c r="F809" t="str">
        <f>("IDG Books Worldwide, ")</f>
        <v xml:space="preserve">IDG Books Worldwide, </v>
      </c>
      <c r="H809" t="str">
        <f t="shared" si="327"/>
        <v>圖書 book</v>
      </c>
      <c r="I809" t="str">
        <f>("HF5719 W853 2000")</f>
        <v>HF5719 W853 2000</v>
      </c>
      <c r="J809" t="str">
        <f>("0764506420")</f>
        <v>0764506420</v>
      </c>
      <c r="K809" t="str">
        <f>("704")</f>
        <v>704</v>
      </c>
      <c r="L809" t="str">
        <f t="shared" si="324"/>
        <v>2001/10/10 00:00:00</v>
      </c>
      <c r="M809" t="str">
        <f t="shared" ref="M809:M819" si="333">("2018/08/11 13:34:54")</f>
        <v>2018/08/11 13:34:54</v>
      </c>
      <c r="N809" t="str">
        <f>("2000")</f>
        <v>2000</v>
      </c>
      <c r="O809" t="str">
        <f t="shared" si="328"/>
        <v>4F西文書庫 4F Western Language Books</v>
      </c>
      <c r="P809" t="s">
        <v>64</v>
      </c>
      <c r="W809" t="str">
        <f t="shared" si="313"/>
        <v>美國國會圖書分類法</v>
      </c>
      <c r="Y809" t="str">
        <f>("HF5719")</f>
        <v>HF5719</v>
      </c>
      <c r="Z809" t="str">
        <f>("2018/08/11 13:34:53")</f>
        <v>2018/08/11 13:34:53</v>
      </c>
      <c r="AA809" t="str">
        <f t="shared" si="321"/>
        <v>catc</v>
      </c>
      <c r="AC809" t="str">
        <f>("W853")</f>
        <v>W853</v>
      </c>
      <c r="AE809" t="str">
        <f t="shared" si="332"/>
        <v>c.1</v>
      </c>
      <c r="AF809" t="str">
        <f t="shared" si="331"/>
        <v>1.可借圖書</v>
      </c>
      <c r="AG809" t="str">
        <f t="shared" si="329"/>
        <v>在架</v>
      </c>
      <c r="AI809" t="s">
        <v>65</v>
      </c>
      <c r="AK809" t="str">
        <f t="shared" si="322"/>
        <v>一般(Normal)</v>
      </c>
      <c r="AO809" t="s">
        <v>65</v>
      </c>
      <c r="AS809" t="str">
        <f>("c2000. ")</f>
        <v xml:space="preserve">c2000. </v>
      </c>
      <c r="AT809" t="str">
        <f t="shared" si="323"/>
        <v>catc</v>
      </c>
    </row>
    <row r="810" spans="1:46" x14ac:dyDescent="0.25">
      <c r="A810">
        <v>799</v>
      </c>
      <c r="B810" t="str">
        <f>("289639")</f>
        <v>289639</v>
      </c>
      <c r="C810" t="str">
        <f>("W00002835")</f>
        <v>W00002835</v>
      </c>
      <c r="D810" t="str">
        <f>("Oracle SQL :the essential reference /")</f>
        <v>Oracle SQL :the essential reference /</v>
      </c>
      <c r="E810" t="str">
        <f>("Kreines, David C ")</f>
        <v xml:space="preserve">Kreines, David C </v>
      </c>
      <c r="F810" t="str">
        <f>("O'Reilly,")</f>
        <v>O'Reilly,</v>
      </c>
      <c r="G810" t="str">
        <f>("1st ed ")</f>
        <v xml:space="preserve">1st ed </v>
      </c>
      <c r="H810" t="str">
        <f t="shared" si="327"/>
        <v>圖書 book</v>
      </c>
      <c r="I810" t="str">
        <f>("QA76.73.S67 K92 2000")</f>
        <v>QA76.73.S67 K92 2000</v>
      </c>
      <c r="J810" t="str">
        <f>("01565926978")</f>
        <v>01565926978</v>
      </c>
      <c r="K810" t="str">
        <f>("1040")</f>
        <v>1040</v>
      </c>
      <c r="L810" t="str">
        <f t="shared" si="324"/>
        <v>2001/10/10 00:00:00</v>
      </c>
      <c r="M810" t="str">
        <f t="shared" si="333"/>
        <v>2018/08/11 13:34:54</v>
      </c>
      <c r="N810" t="str">
        <f>("2000")</f>
        <v>2000</v>
      </c>
      <c r="O810" t="str">
        <f t="shared" si="328"/>
        <v>4F西文書庫 4F Western Language Books</v>
      </c>
      <c r="P810" t="s">
        <v>64</v>
      </c>
      <c r="W810" t="str">
        <f t="shared" si="313"/>
        <v>美國國會圖書分類法</v>
      </c>
      <c r="Y810" t="str">
        <f>("QA76.73.S67")</f>
        <v>QA76.73.S67</v>
      </c>
      <c r="Z810" t="str">
        <f t="shared" ref="Z810:Z820" si="334">("2018/08/11 13:34:54")</f>
        <v>2018/08/11 13:34:54</v>
      </c>
      <c r="AA810" t="str">
        <f t="shared" si="321"/>
        <v>catc</v>
      </c>
      <c r="AC810" t="str">
        <f>("K92")</f>
        <v>K92</v>
      </c>
      <c r="AE810" t="str">
        <f t="shared" si="332"/>
        <v>c.1</v>
      </c>
      <c r="AF810" t="str">
        <f t="shared" si="331"/>
        <v>1.可借圖書</v>
      </c>
      <c r="AG810" t="str">
        <f t="shared" si="329"/>
        <v>在架</v>
      </c>
      <c r="AI810" t="s">
        <v>65</v>
      </c>
      <c r="AK810" t="str">
        <f t="shared" si="322"/>
        <v>一般(Normal)</v>
      </c>
      <c r="AO810" t="s">
        <v>65</v>
      </c>
      <c r="AS810" t="str">
        <f>("c2000 ")</f>
        <v xml:space="preserve">c2000 </v>
      </c>
      <c r="AT810" t="str">
        <f t="shared" si="323"/>
        <v>catc</v>
      </c>
    </row>
    <row r="811" spans="1:46" x14ac:dyDescent="0.25">
      <c r="A811">
        <v>800</v>
      </c>
      <c r="B811" t="str">
        <f>("289619")</f>
        <v>289619</v>
      </c>
      <c r="C811" t="str">
        <f>("W00002836")</f>
        <v>W00002836</v>
      </c>
      <c r="D811" t="str">
        <f>("PalmPilot :the ultimate guide /")</f>
        <v>PalmPilot :the ultimate guide /</v>
      </c>
      <c r="E811" t="str">
        <f>("Pogue, David ")</f>
        <v xml:space="preserve">Pogue, David </v>
      </c>
      <c r="F811" t="str">
        <f>("O'Reilly &amp; Associates,")</f>
        <v>O'Reilly &amp; Associates,</v>
      </c>
      <c r="G811" t="str">
        <f>("2nd ed ")</f>
        <v xml:space="preserve">2nd ed </v>
      </c>
      <c r="H811" t="str">
        <f t="shared" si="327"/>
        <v>圖書 book</v>
      </c>
      <c r="I811" t="str">
        <f>("HG4027.7 P746 1999")</f>
        <v>HG4027.7 P746 1999</v>
      </c>
      <c r="J811" t="str">
        <f>("1565926005")</f>
        <v>1565926005</v>
      </c>
      <c r="K811" t="str">
        <f>("840")</f>
        <v>840</v>
      </c>
      <c r="L811" t="str">
        <f t="shared" si="324"/>
        <v>2001/10/10 00:00:00</v>
      </c>
      <c r="M811" t="str">
        <f t="shared" si="333"/>
        <v>2018/08/11 13:34:54</v>
      </c>
      <c r="N811" t="str">
        <f>("1999")</f>
        <v>1999</v>
      </c>
      <c r="O811" t="str">
        <f t="shared" si="328"/>
        <v>4F西文書庫 4F Western Language Books</v>
      </c>
      <c r="P811" t="s">
        <v>64</v>
      </c>
      <c r="W811" t="str">
        <f t="shared" si="313"/>
        <v>美國國會圖書分類法</v>
      </c>
      <c r="Y811" t="str">
        <f>("HG4027.7")</f>
        <v>HG4027.7</v>
      </c>
      <c r="Z811" t="str">
        <f t="shared" si="334"/>
        <v>2018/08/11 13:34:54</v>
      </c>
      <c r="AA811" t="str">
        <f t="shared" si="321"/>
        <v>catc</v>
      </c>
      <c r="AC811" t="str">
        <f>("P746")</f>
        <v>P746</v>
      </c>
      <c r="AE811" t="str">
        <f t="shared" si="332"/>
        <v>c.1</v>
      </c>
      <c r="AF811" t="str">
        <f t="shared" si="331"/>
        <v>1.可借圖書</v>
      </c>
      <c r="AG811" t="str">
        <f t="shared" si="329"/>
        <v>在架</v>
      </c>
      <c r="AI811" t="s">
        <v>65</v>
      </c>
      <c r="AK811" t="str">
        <f t="shared" si="322"/>
        <v>一般(Normal)</v>
      </c>
      <c r="AO811" t="s">
        <v>65</v>
      </c>
      <c r="AS811" t="str">
        <f>("c1999 ")</f>
        <v xml:space="preserve">c1999 </v>
      </c>
      <c r="AT811" t="str">
        <f t="shared" si="323"/>
        <v>catc</v>
      </c>
    </row>
    <row r="812" spans="1:46" x14ac:dyDescent="0.25">
      <c r="A812">
        <v>801</v>
      </c>
      <c r="B812" t="str">
        <f>("289620")</f>
        <v>289620</v>
      </c>
      <c r="C812" t="str">
        <f>("W00002837")</f>
        <v>W00002837</v>
      </c>
      <c r="D812" t="str">
        <f>("Palm programming : the developer's guide / ")</f>
        <v xml:space="preserve">Palm programming : the developer's guide / </v>
      </c>
      <c r="E812" t="str">
        <f>("Rhodes, Neil, 1962- ")</f>
        <v xml:space="preserve">Rhodes, Neil, 1962- </v>
      </c>
      <c r="F812" t="str">
        <f>("O'Reilly, ")</f>
        <v xml:space="preserve">O'Reilly, </v>
      </c>
      <c r="G812" t="str">
        <f>("1st ed. ")</f>
        <v xml:space="preserve">1st ed. </v>
      </c>
      <c r="H812" t="str">
        <f t="shared" si="327"/>
        <v>圖書 book</v>
      </c>
      <c r="I812" t="str">
        <f>("QA76.8.P138 R476 1999")</f>
        <v>QA76.8.P138 R476 1999</v>
      </c>
      <c r="J812" t="str">
        <f>("1565925254")</f>
        <v>1565925254</v>
      </c>
      <c r="K812" t="str">
        <f>("928")</f>
        <v>928</v>
      </c>
      <c r="L812" t="str">
        <f t="shared" si="324"/>
        <v>2001/10/10 00:00:00</v>
      </c>
      <c r="M812" t="str">
        <f t="shared" si="333"/>
        <v>2018/08/11 13:34:54</v>
      </c>
      <c r="N812" t="str">
        <f>("1999")</f>
        <v>1999</v>
      </c>
      <c r="O812" t="str">
        <f t="shared" si="328"/>
        <v>4F西文書庫 4F Western Language Books</v>
      </c>
      <c r="P812" t="s">
        <v>64</v>
      </c>
      <c r="W812" t="str">
        <f t="shared" si="313"/>
        <v>美國國會圖書分類法</v>
      </c>
      <c r="Y812" t="str">
        <f>("QA76.8.P138")</f>
        <v>QA76.8.P138</v>
      </c>
      <c r="Z812" t="str">
        <f t="shared" si="334"/>
        <v>2018/08/11 13:34:54</v>
      </c>
      <c r="AA812" t="str">
        <f t="shared" si="321"/>
        <v>catc</v>
      </c>
      <c r="AC812" t="str">
        <f>("R476")</f>
        <v>R476</v>
      </c>
      <c r="AE812" t="str">
        <f t="shared" si="332"/>
        <v>c.1</v>
      </c>
      <c r="AF812" t="str">
        <f t="shared" si="331"/>
        <v>1.可借圖書</v>
      </c>
      <c r="AG812" t="str">
        <f t="shared" si="329"/>
        <v>在架</v>
      </c>
      <c r="AI812" t="s">
        <v>65</v>
      </c>
      <c r="AK812" t="str">
        <f t="shared" si="322"/>
        <v>一般(Normal)</v>
      </c>
      <c r="AO812" t="s">
        <v>65</v>
      </c>
      <c r="AS812" t="str">
        <f>("c1999. ")</f>
        <v xml:space="preserve">c1999. </v>
      </c>
      <c r="AT812" t="str">
        <f t="shared" si="323"/>
        <v>catc</v>
      </c>
    </row>
    <row r="813" spans="1:46" x14ac:dyDescent="0.25">
      <c r="A813">
        <v>802</v>
      </c>
      <c r="B813" t="str">
        <f>("289641")</f>
        <v>289641</v>
      </c>
      <c r="C813" t="str">
        <f>("W00002838")</f>
        <v>W00002838</v>
      </c>
      <c r="D813" t="str">
        <f>("Newton's telecom dictionary: the official dictionary of telecommunications networking and internet/ ")</f>
        <v xml:space="preserve">Newton's telecom dictionary: the official dictionary of telecommunications networking and internet/ </v>
      </c>
      <c r="E813" t="str">
        <f>("Newton, Harry ")</f>
        <v xml:space="preserve">Newton, Harry </v>
      </c>
      <c r="F813" t="str">
        <f>("CMP, ")</f>
        <v xml:space="preserve">CMP, </v>
      </c>
      <c r="G813" t="str">
        <f>("1st ed.")</f>
        <v>1st ed.</v>
      </c>
      <c r="H813" t="str">
        <f>("參考書 Reference")</f>
        <v>參考書 Reference</v>
      </c>
      <c r="I813" t="str">
        <f>("R D304 N561 2000")</f>
        <v>R D304 N561 2000</v>
      </c>
      <c r="J813" t="str">
        <f>("01578200539")</f>
        <v>01578200539</v>
      </c>
      <c r="K813" t="str">
        <f>("928")</f>
        <v>928</v>
      </c>
      <c r="L813" t="str">
        <f t="shared" si="324"/>
        <v>2001/10/10 00:00:00</v>
      </c>
      <c r="M813" t="str">
        <f t="shared" si="333"/>
        <v>2018/08/11 13:34:54</v>
      </c>
      <c r="N813" t="str">
        <f>("2000")</f>
        <v>2000</v>
      </c>
      <c r="O813" t="str">
        <f>("2F西文參考書庫 2F Western Reference Resources")</f>
        <v>2F西文參考書庫 2F Western Reference Resources</v>
      </c>
      <c r="P813" t="s">
        <v>64</v>
      </c>
      <c r="W813" t="str">
        <f t="shared" si="313"/>
        <v>美國國會圖書分類法</v>
      </c>
      <c r="Y813" t="str">
        <f>("D304")</f>
        <v>D304</v>
      </c>
      <c r="Z813" t="str">
        <f t="shared" si="334"/>
        <v>2018/08/11 13:34:54</v>
      </c>
      <c r="AA813" t="str">
        <f t="shared" si="321"/>
        <v>catc</v>
      </c>
      <c r="AC813" t="str">
        <f>("N561")</f>
        <v>N561</v>
      </c>
      <c r="AE813" t="str">
        <f t="shared" si="332"/>
        <v>c.1</v>
      </c>
      <c r="AF813" t="str">
        <f>("參考工具書")</f>
        <v>參考工具書</v>
      </c>
      <c r="AG813" t="str">
        <f>("報銷中")</f>
        <v>報銷中</v>
      </c>
      <c r="AI813" t="s">
        <v>66</v>
      </c>
      <c r="AK813" t="str">
        <f t="shared" si="322"/>
        <v>一般(Normal)</v>
      </c>
      <c r="AO813" t="s">
        <v>65</v>
      </c>
      <c r="AS813" t="str">
        <f>("2000.")</f>
        <v>2000.</v>
      </c>
      <c r="AT813" t="str">
        <f t="shared" si="323"/>
        <v>catc</v>
      </c>
    </row>
    <row r="814" spans="1:46" x14ac:dyDescent="0.25">
      <c r="A814">
        <v>803</v>
      </c>
      <c r="B814" t="str">
        <f>("289642")</f>
        <v>289642</v>
      </c>
      <c r="C814" t="str">
        <f>("W00002839")</f>
        <v>W00002839</v>
      </c>
      <c r="D814" t="str">
        <f>("Compression algorithms for real programmers /")</f>
        <v>Compression algorithms for real programmers /</v>
      </c>
      <c r="E814" t="str">
        <f>("Wayner, Peter,1964- ")</f>
        <v xml:space="preserve">Wayner, Peter,1964- </v>
      </c>
      <c r="F814" t="str">
        <f>("Morgan Kaufmann,")</f>
        <v>Morgan Kaufmann,</v>
      </c>
      <c r="H814" t="str">
        <f t="shared" ref="H814:H845" si="335">("圖書 book")</f>
        <v>圖書 book</v>
      </c>
      <c r="I814" t="str">
        <f>("QA76.9.A43 W359 2000")</f>
        <v>QA76.9.A43 W359 2000</v>
      </c>
      <c r="J814" t="str">
        <f>("0127887741")</f>
        <v>0127887741</v>
      </c>
      <c r="K814" t="str">
        <f>("1160")</f>
        <v>1160</v>
      </c>
      <c r="L814" t="str">
        <f t="shared" si="324"/>
        <v>2001/10/10 00:00:00</v>
      </c>
      <c r="M814" t="str">
        <f t="shared" si="333"/>
        <v>2018/08/11 13:34:54</v>
      </c>
      <c r="N814" t="str">
        <f>("2000")</f>
        <v>2000</v>
      </c>
      <c r="O814" t="str">
        <f t="shared" ref="O814:O845" si="336">("4F西文書庫 4F Western Language Books")</f>
        <v>4F西文書庫 4F Western Language Books</v>
      </c>
      <c r="P814" t="s">
        <v>64</v>
      </c>
      <c r="S814" t="str">
        <f>("xi, 240 p. :")</f>
        <v>xi, 240 p. :</v>
      </c>
      <c r="T814" t="str">
        <f>("ill. ;")</f>
        <v>ill. ;</v>
      </c>
      <c r="U814" t="str">
        <f>("24 cm ")</f>
        <v xml:space="preserve">24 cm </v>
      </c>
      <c r="W814" t="str">
        <f t="shared" si="313"/>
        <v>美國國會圖書分類法</v>
      </c>
      <c r="Y814" t="str">
        <f>("QA76.9.A43")</f>
        <v>QA76.9.A43</v>
      </c>
      <c r="Z814" t="str">
        <f t="shared" si="334"/>
        <v>2018/08/11 13:34:54</v>
      </c>
      <c r="AA814" t="str">
        <f t="shared" si="321"/>
        <v>catc</v>
      </c>
      <c r="AC814" t="str">
        <f>("W359")</f>
        <v>W359</v>
      </c>
      <c r="AE814" t="str">
        <f t="shared" si="332"/>
        <v>c.1</v>
      </c>
      <c r="AF814" t="str">
        <f t="shared" ref="AF814:AF845" si="337">("1.可借圖書")</f>
        <v>1.可借圖書</v>
      </c>
      <c r="AG814" t="str">
        <f t="shared" ref="AG814:AG845" si="338">("在架")</f>
        <v>在架</v>
      </c>
      <c r="AI814" t="s">
        <v>65</v>
      </c>
      <c r="AK814" t="str">
        <f t="shared" si="322"/>
        <v>一般(Normal)</v>
      </c>
      <c r="AO814" t="s">
        <v>65</v>
      </c>
      <c r="AS814" t="str">
        <f>("c2000 ")</f>
        <v xml:space="preserve">c2000 </v>
      </c>
      <c r="AT814" t="str">
        <f t="shared" si="323"/>
        <v>catc</v>
      </c>
    </row>
    <row r="815" spans="1:46" x14ac:dyDescent="0.25">
      <c r="A815">
        <v>804</v>
      </c>
      <c r="B815" t="str">
        <f>("289643")</f>
        <v>289643</v>
      </c>
      <c r="C815" t="str">
        <f>("W00002840")</f>
        <v>W00002840</v>
      </c>
      <c r="D815" t="str">
        <f>("Oracle essentials :oracle8 and oracle8i/")</f>
        <v>Oracle essentials :oracle8 and oracle8i/</v>
      </c>
      <c r="E815" t="str">
        <f>("Greenwald, Rick ")</f>
        <v xml:space="preserve">Greenwald, Rick </v>
      </c>
      <c r="F815" t="str">
        <f>("O'Reilly,")</f>
        <v>O'Reilly,</v>
      </c>
      <c r="G815" t="str">
        <f>("1st ed ")</f>
        <v xml:space="preserve">1st ed </v>
      </c>
      <c r="H815" t="str">
        <f t="shared" si="335"/>
        <v>圖書 book</v>
      </c>
      <c r="I815" t="str">
        <f>("QA76.9.D3 G816 1999")</f>
        <v>QA76.9.D3 G816 1999</v>
      </c>
      <c r="J815" t="str">
        <f>("1565927087")</f>
        <v>1565927087</v>
      </c>
      <c r="K815" t="str">
        <f>("984")</f>
        <v>984</v>
      </c>
      <c r="L815" t="str">
        <f t="shared" si="324"/>
        <v>2001/10/10 00:00:00</v>
      </c>
      <c r="M815" t="str">
        <f t="shared" si="333"/>
        <v>2018/08/11 13:34:54</v>
      </c>
      <c r="N815" t="str">
        <f>("1999")</f>
        <v>1999</v>
      </c>
      <c r="O815" t="str">
        <f t="shared" si="336"/>
        <v>4F西文書庫 4F Western Language Books</v>
      </c>
      <c r="P815" t="s">
        <v>64</v>
      </c>
      <c r="W815" t="str">
        <f t="shared" si="313"/>
        <v>美國國會圖書分類法</v>
      </c>
      <c r="Y815" t="str">
        <f>("QA76.9.D3")</f>
        <v>QA76.9.D3</v>
      </c>
      <c r="Z815" t="str">
        <f t="shared" si="334"/>
        <v>2018/08/11 13:34:54</v>
      </c>
      <c r="AA815" t="str">
        <f t="shared" si="321"/>
        <v>catc</v>
      </c>
      <c r="AC815" t="str">
        <f>("G816")</f>
        <v>G816</v>
      </c>
      <c r="AE815" t="str">
        <f t="shared" si="332"/>
        <v>c.1</v>
      </c>
      <c r="AF815" t="str">
        <f t="shared" si="337"/>
        <v>1.可借圖書</v>
      </c>
      <c r="AG815" t="str">
        <f t="shared" si="338"/>
        <v>在架</v>
      </c>
      <c r="AI815" t="s">
        <v>65</v>
      </c>
      <c r="AK815" t="str">
        <f t="shared" si="322"/>
        <v>一般(Normal)</v>
      </c>
      <c r="AO815" t="s">
        <v>65</v>
      </c>
      <c r="AS815" t="str">
        <f>("c1999 ")</f>
        <v xml:space="preserve">c1999 </v>
      </c>
      <c r="AT815" t="str">
        <f t="shared" si="323"/>
        <v>catc</v>
      </c>
    </row>
    <row r="816" spans="1:46" x14ac:dyDescent="0.25">
      <c r="A816">
        <v>805</v>
      </c>
      <c r="B816" t="str">
        <f>("289644")</f>
        <v>289644</v>
      </c>
      <c r="C816" t="str">
        <f>("W00002841")</f>
        <v>W00002841</v>
      </c>
      <c r="D816" t="str">
        <f>("MP3 :the definitive guide /")</f>
        <v>MP3 :the definitive guide /</v>
      </c>
      <c r="E816" t="str">
        <f>("Hacker, Scot ")</f>
        <v xml:space="preserve">Hacker, Scot </v>
      </c>
      <c r="F816" t="str">
        <f>("O'Reilly,")</f>
        <v>O'Reilly,</v>
      </c>
      <c r="G816" t="str">
        <f>("1st ed ")</f>
        <v xml:space="preserve">1st ed </v>
      </c>
      <c r="H816" t="str">
        <f t="shared" si="335"/>
        <v>圖書 book</v>
      </c>
      <c r="I816" t="str">
        <f>("ML74.4.M6 H119 2000")</f>
        <v>ML74.4.M6 H119 2000</v>
      </c>
      <c r="J816" t="str">
        <f>("1565926617")</f>
        <v>1565926617</v>
      </c>
      <c r="K816" t="str">
        <f>("840")</f>
        <v>840</v>
      </c>
      <c r="L816" t="str">
        <f t="shared" si="324"/>
        <v>2001/10/10 00:00:00</v>
      </c>
      <c r="M816" t="str">
        <f t="shared" si="333"/>
        <v>2018/08/11 13:34:54</v>
      </c>
      <c r="N816" t="str">
        <f>("2000")</f>
        <v>2000</v>
      </c>
      <c r="O816" t="str">
        <f t="shared" si="336"/>
        <v>4F西文書庫 4F Western Language Books</v>
      </c>
      <c r="P816" t="s">
        <v>64</v>
      </c>
      <c r="W816" t="str">
        <f t="shared" si="313"/>
        <v>美國國會圖書分類法</v>
      </c>
      <c r="Y816" t="str">
        <f>("ML74.4.M6")</f>
        <v>ML74.4.M6</v>
      </c>
      <c r="Z816" t="str">
        <f t="shared" si="334"/>
        <v>2018/08/11 13:34:54</v>
      </c>
      <c r="AA816" t="str">
        <f t="shared" si="321"/>
        <v>catc</v>
      </c>
      <c r="AC816" t="str">
        <f>("H119")</f>
        <v>H119</v>
      </c>
      <c r="AE816" t="str">
        <f t="shared" si="332"/>
        <v>c.1</v>
      </c>
      <c r="AF816" t="str">
        <f t="shared" si="337"/>
        <v>1.可借圖書</v>
      </c>
      <c r="AG816" t="str">
        <f t="shared" si="338"/>
        <v>在架</v>
      </c>
      <c r="AI816" t="s">
        <v>65</v>
      </c>
      <c r="AK816" t="str">
        <f t="shared" si="322"/>
        <v>一般(Normal)</v>
      </c>
      <c r="AO816" t="s">
        <v>65</v>
      </c>
      <c r="AS816" t="str">
        <f>("2000 ")</f>
        <v xml:space="preserve">2000 </v>
      </c>
      <c r="AT816" t="str">
        <f t="shared" si="323"/>
        <v>catc</v>
      </c>
    </row>
    <row r="817" spans="1:46" x14ac:dyDescent="0.25">
      <c r="A817">
        <v>806</v>
      </c>
      <c r="B817" t="str">
        <f>("289645")</f>
        <v>289645</v>
      </c>
      <c r="C817" t="str">
        <f>("W00002842")</f>
        <v>W00002842</v>
      </c>
      <c r="D817" t="str">
        <f>("Oracle parallel processing / ")</f>
        <v xml:space="preserve">Oracle parallel processing / </v>
      </c>
      <c r="E817" t="str">
        <f>("Mahapatra, Tushar. ")</f>
        <v xml:space="preserve">Mahapatra, Tushar. </v>
      </c>
      <c r="F817" t="str">
        <f>("O'Reilly, ")</f>
        <v xml:space="preserve">O'Reilly, </v>
      </c>
      <c r="G817" t="str">
        <f>("1st ed. ")</f>
        <v xml:space="preserve">1st ed. </v>
      </c>
      <c r="H817" t="str">
        <f t="shared" si="335"/>
        <v>圖書 book</v>
      </c>
      <c r="I817" t="str">
        <f>("QA76.58 M214 2000")</f>
        <v>QA76.58 M214 2000</v>
      </c>
      <c r="J817" t="str">
        <f>("156592701X")</f>
        <v>156592701X</v>
      </c>
      <c r="K817" t="str">
        <f>("928")</f>
        <v>928</v>
      </c>
      <c r="L817" t="str">
        <f t="shared" si="324"/>
        <v>2001/10/10 00:00:00</v>
      </c>
      <c r="M817" t="str">
        <f t="shared" si="333"/>
        <v>2018/08/11 13:34:54</v>
      </c>
      <c r="N817" t="str">
        <f>("2000")</f>
        <v>2000</v>
      </c>
      <c r="O817" t="str">
        <f t="shared" si="336"/>
        <v>4F西文書庫 4F Western Language Books</v>
      </c>
      <c r="P817" t="s">
        <v>64</v>
      </c>
      <c r="W817" t="str">
        <f t="shared" si="313"/>
        <v>美國國會圖書分類法</v>
      </c>
      <c r="Y817" t="str">
        <f>("QA76.58")</f>
        <v>QA76.58</v>
      </c>
      <c r="Z817" t="str">
        <f t="shared" si="334"/>
        <v>2018/08/11 13:34:54</v>
      </c>
      <c r="AA817" t="str">
        <f t="shared" si="321"/>
        <v>catc</v>
      </c>
      <c r="AC817" t="str">
        <f>("M214")</f>
        <v>M214</v>
      </c>
      <c r="AE817" t="str">
        <f t="shared" si="332"/>
        <v>c.1</v>
      </c>
      <c r="AF817" t="str">
        <f t="shared" si="337"/>
        <v>1.可借圖書</v>
      </c>
      <c r="AG817" t="str">
        <f t="shared" si="338"/>
        <v>在架</v>
      </c>
      <c r="AI817" t="s">
        <v>65</v>
      </c>
      <c r="AK817" t="str">
        <f t="shared" si="322"/>
        <v>一般(Normal)</v>
      </c>
      <c r="AO817" t="s">
        <v>65</v>
      </c>
      <c r="AS817" t="str">
        <f>("2000. ")</f>
        <v xml:space="preserve">2000. </v>
      </c>
      <c r="AT817" t="str">
        <f t="shared" si="323"/>
        <v>catc</v>
      </c>
    </row>
    <row r="818" spans="1:46" x14ac:dyDescent="0.25">
      <c r="A818">
        <v>807</v>
      </c>
      <c r="B818" t="str">
        <f>("289646")</f>
        <v>289646</v>
      </c>
      <c r="C818" t="str">
        <f>("W00002843")</f>
        <v>W00002843</v>
      </c>
      <c r="D818" t="str">
        <f>("3D game engine design :a practical approach to real-timecomputer graphics /")</f>
        <v>3D game engine design :a practical approach to real-timecomputer graphics /</v>
      </c>
      <c r="E818" t="str">
        <f>("Eberly, David H. ")</f>
        <v xml:space="preserve">Eberly, David H. </v>
      </c>
      <c r="F818" t="str">
        <f>("Morgan Kaufmann,")</f>
        <v>Morgan Kaufmann,</v>
      </c>
      <c r="H818" t="str">
        <f t="shared" si="335"/>
        <v>圖書 book</v>
      </c>
      <c r="I818" t="str">
        <f>("T385 E16 2000")</f>
        <v>T385 E16 2000</v>
      </c>
      <c r="J818" t="str">
        <f>("1558605932")</f>
        <v>1558605932</v>
      </c>
      <c r="K818" t="str">
        <f>("1498")</f>
        <v>1498</v>
      </c>
      <c r="L818" t="str">
        <f t="shared" si="324"/>
        <v>2001/10/10 00:00:00</v>
      </c>
      <c r="M818" t="str">
        <f t="shared" si="333"/>
        <v>2018/08/11 13:34:54</v>
      </c>
      <c r="N818" t="str">
        <f>("2000")</f>
        <v>2000</v>
      </c>
      <c r="O818" t="str">
        <f t="shared" si="336"/>
        <v>4F西文書庫 4F Western Language Books</v>
      </c>
      <c r="P818" t="s">
        <v>64</v>
      </c>
      <c r="W818" t="str">
        <f t="shared" si="313"/>
        <v>美國國會圖書分類法</v>
      </c>
      <c r="Y818" t="str">
        <f>("T385")</f>
        <v>T385</v>
      </c>
      <c r="Z818" t="str">
        <f t="shared" si="334"/>
        <v>2018/08/11 13:34:54</v>
      </c>
      <c r="AA818" t="str">
        <f t="shared" si="321"/>
        <v>catc</v>
      </c>
      <c r="AC818" t="str">
        <f>("E16")</f>
        <v>E16</v>
      </c>
      <c r="AE818" t="str">
        <f t="shared" si="332"/>
        <v>c.1</v>
      </c>
      <c r="AF818" t="str">
        <f t="shared" si="337"/>
        <v>1.可借圖書</v>
      </c>
      <c r="AG818" t="str">
        <f t="shared" si="338"/>
        <v>在架</v>
      </c>
      <c r="AI818" t="s">
        <v>65</v>
      </c>
      <c r="AK818" t="str">
        <f t="shared" si="322"/>
        <v>一般(Normal)</v>
      </c>
      <c r="AO818" t="s">
        <v>65</v>
      </c>
      <c r="AS818" t="str">
        <f>("c2001. ")</f>
        <v xml:space="preserve">c2001. </v>
      </c>
      <c r="AT818" t="str">
        <f t="shared" si="323"/>
        <v>catc</v>
      </c>
    </row>
    <row r="819" spans="1:46" x14ac:dyDescent="0.25">
      <c r="A819">
        <v>808</v>
      </c>
      <c r="B819" t="str">
        <f>("289647")</f>
        <v>289647</v>
      </c>
      <c r="C819" t="str">
        <f>("W00002844")</f>
        <v>W00002844</v>
      </c>
      <c r="D819" t="str">
        <f>("Understanding database management systems /")</f>
        <v>Understanding database management systems /</v>
      </c>
      <c r="E819" t="str">
        <f>("Mattison, Rob ")</f>
        <v xml:space="preserve">Mattison, Rob </v>
      </c>
      <c r="F819" t="str">
        <f>("McGraw-Hill,")</f>
        <v>McGraw-Hill,</v>
      </c>
      <c r="G819" t="str">
        <f>("2nd ed ")</f>
        <v xml:space="preserve">2nd ed </v>
      </c>
      <c r="H819" t="str">
        <f t="shared" si="335"/>
        <v>圖書 book</v>
      </c>
      <c r="I819" t="str">
        <f>("QA76.9.D3 M4444 1998")</f>
        <v>QA76.9.D3 M4444 1998</v>
      </c>
      <c r="J819" t="str">
        <f>("0070499993")</f>
        <v>0070499993</v>
      </c>
      <c r="K819" t="str">
        <f>("1498")</f>
        <v>1498</v>
      </c>
      <c r="L819" t="str">
        <f t="shared" si="324"/>
        <v>2001/10/10 00:00:00</v>
      </c>
      <c r="M819" t="str">
        <f t="shared" si="333"/>
        <v>2018/08/11 13:34:54</v>
      </c>
      <c r="N819" t="str">
        <f>("1998")</f>
        <v>1998</v>
      </c>
      <c r="O819" t="str">
        <f t="shared" si="336"/>
        <v>4F西文書庫 4F Western Language Books</v>
      </c>
      <c r="P819" t="s">
        <v>64</v>
      </c>
      <c r="W819" t="str">
        <f t="shared" si="313"/>
        <v>美國國會圖書分類法</v>
      </c>
      <c r="Y819" t="str">
        <f>("QA76.9.D3")</f>
        <v>QA76.9.D3</v>
      </c>
      <c r="Z819" t="str">
        <f t="shared" si="334"/>
        <v>2018/08/11 13:34:54</v>
      </c>
      <c r="AA819" t="str">
        <f t="shared" si="321"/>
        <v>catc</v>
      </c>
      <c r="AC819" t="str">
        <f>("M4444")</f>
        <v>M4444</v>
      </c>
      <c r="AE819" t="str">
        <f t="shared" si="332"/>
        <v>c.1</v>
      </c>
      <c r="AF819" t="str">
        <f t="shared" si="337"/>
        <v>1.可借圖書</v>
      </c>
      <c r="AG819" t="str">
        <f t="shared" si="338"/>
        <v>在架</v>
      </c>
      <c r="AI819" t="s">
        <v>65</v>
      </c>
      <c r="AK819" t="str">
        <f t="shared" si="322"/>
        <v>一般(Normal)</v>
      </c>
      <c r="AO819" t="s">
        <v>65</v>
      </c>
      <c r="AS819" t="str">
        <f>("c1998 ")</f>
        <v xml:space="preserve">c1998 </v>
      </c>
      <c r="AT819" t="str">
        <f t="shared" si="323"/>
        <v>catc</v>
      </c>
    </row>
    <row r="820" spans="1:46" x14ac:dyDescent="0.25">
      <c r="A820">
        <v>809</v>
      </c>
      <c r="B820" t="str">
        <f>("289640")</f>
        <v>289640</v>
      </c>
      <c r="C820" t="str">
        <f>("W00002845")</f>
        <v>W00002845</v>
      </c>
      <c r="D820" t="str">
        <f>("Essential Windows NT system administration / ")</f>
        <v xml:space="preserve">Essential Windows NT system administration / </v>
      </c>
      <c r="E820" t="str">
        <f>("Frisch, AEleen. ")</f>
        <v xml:space="preserve">Frisch, AEleen. </v>
      </c>
      <c r="F820" t="str">
        <f>("O'Reilly, ")</f>
        <v xml:space="preserve">O'Reilly, </v>
      </c>
      <c r="G820" t="str">
        <f>("1st ed. ")</f>
        <v xml:space="preserve">1st ed. </v>
      </c>
      <c r="H820" t="str">
        <f t="shared" si="335"/>
        <v>圖書 book</v>
      </c>
      <c r="I820" t="str">
        <f>("QA76.76.O63 F917 1998")</f>
        <v>QA76.76.O63 F917 1998</v>
      </c>
      <c r="J820" t="str">
        <f>("1565922743")</f>
        <v>1565922743</v>
      </c>
      <c r="K820" t="str">
        <f>("984")</f>
        <v>984</v>
      </c>
      <c r="L820" t="str">
        <f t="shared" si="324"/>
        <v>2001/10/10 00:00:00</v>
      </c>
      <c r="M820" t="str">
        <f>("2018/08/11 13:34:55")</f>
        <v>2018/08/11 13:34:55</v>
      </c>
      <c r="N820" t="str">
        <f>("1998")</f>
        <v>1998</v>
      </c>
      <c r="O820" t="str">
        <f t="shared" si="336"/>
        <v>4F西文書庫 4F Western Language Books</v>
      </c>
      <c r="P820" t="s">
        <v>64</v>
      </c>
      <c r="W820" t="str">
        <f t="shared" si="313"/>
        <v>美國國會圖書分類法</v>
      </c>
      <c r="Y820" t="str">
        <f>("QA76.76.O63")</f>
        <v>QA76.76.O63</v>
      </c>
      <c r="Z820" t="str">
        <f t="shared" si="334"/>
        <v>2018/08/11 13:34:54</v>
      </c>
      <c r="AA820" t="str">
        <f t="shared" si="321"/>
        <v>catc</v>
      </c>
      <c r="AC820" t="str">
        <f>("F917")</f>
        <v>F917</v>
      </c>
      <c r="AE820" t="str">
        <f t="shared" si="332"/>
        <v>c.1</v>
      </c>
      <c r="AF820" t="str">
        <f t="shared" si="337"/>
        <v>1.可借圖書</v>
      </c>
      <c r="AG820" t="str">
        <f t="shared" si="338"/>
        <v>在架</v>
      </c>
      <c r="AI820" t="s">
        <v>65</v>
      </c>
      <c r="AK820" t="str">
        <f t="shared" si="322"/>
        <v>一般(Normal)</v>
      </c>
      <c r="AO820" t="s">
        <v>65</v>
      </c>
      <c r="AS820" t="str">
        <f>("1998. ")</f>
        <v xml:space="preserve">1998. </v>
      </c>
      <c r="AT820" t="str">
        <f t="shared" si="323"/>
        <v>catc</v>
      </c>
    </row>
    <row r="821" spans="1:46" x14ac:dyDescent="0.25">
      <c r="A821">
        <v>810</v>
      </c>
      <c r="B821" t="str">
        <f>("289661")</f>
        <v>289661</v>
      </c>
      <c r="C821" t="str">
        <f>("W00002846")</f>
        <v>W00002846</v>
      </c>
      <c r="D821" t="str">
        <f>("MySQL and mSQL /")</f>
        <v>MySQL and mSQL /</v>
      </c>
      <c r="E821" t="str">
        <f>("Yarger, Randy Jay ")</f>
        <v xml:space="preserve">Yarger, Randy Jay </v>
      </c>
      <c r="F821" t="str">
        <f>("O'Reilly,")</f>
        <v>O'Reilly,</v>
      </c>
      <c r="G821" t="str">
        <f>("1st ed ")</f>
        <v xml:space="preserve">1st ed </v>
      </c>
      <c r="H821" t="str">
        <f t="shared" si="335"/>
        <v>圖書 book</v>
      </c>
      <c r="I821" t="str">
        <f>("QA76.73.S67 Y26 1999")</f>
        <v>QA76.73.S67 Y26 1999</v>
      </c>
      <c r="J821" t="str">
        <f>("1565924347")</f>
        <v>1565924347</v>
      </c>
      <c r="K821" t="str">
        <f>("984")</f>
        <v>984</v>
      </c>
      <c r="L821" t="str">
        <f t="shared" si="324"/>
        <v>2001/10/10 00:00:00</v>
      </c>
      <c r="M821" t="str">
        <f>("2018/08/11 13:34:55")</f>
        <v>2018/08/11 13:34:55</v>
      </c>
      <c r="N821" t="str">
        <f>("1999")</f>
        <v>1999</v>
      </c>
      <c r="O821" t="str">
        <f t="shared" si="336"/>
        <v>4F西文書庫 4F Western Language Books</v>
      </c>
      <c r="P821" t="s">
        <v>64</v>
      </c>
      <c r="W821" t="str">
        <f t="shared" ref="W821:W884" si="339">("美國國會圖書分類法")</f>
        <v>美國國會圖書分類法</v>
      </c>
      <c r="Y821" t="str">
        <f>("QA76.73.S67")</f>
        <v>QA76.73.S67</v>
      </c>
      <c r="Z821" t="str">
        <f>("2018/08/11 13:34:55")</f>
        <v>2018/08/11 13:34:55</v>
      </c>
      <c r="AA821" t="str">
        <f t="shared" si="321"/>
        <v>catc</v>
      </c>
      <c r="AC821" t="str">
        <f>("Y26")</f>
        <v>Y26</v>
      </c>
      <c r="AE821" t="str">
        <f t="shared" si="332"/>
        <v>c.1</v>
      </c>
      <c r="AF821" t="str">
        <f t="shared" si="337"/>
        <v>1.可借圖書</v>
      </c>
      <c r="AG821" t="str">
        <f t="shared" si="338"/>
        <v>在架</v>
      </c>
      <c r="AI821" t="s">
        <v>65</v>
      </c>
      <c r="AK821" t="str">
        <f t="shared" si="322"/>
        <v>一般(Normal)</v>
      </c>
      <c r="AO821" t="s">
        <v>65</v>
      </c>
      <c r="AS821" t="str">
        <f>("1999 ")</f>
        <v xml:space="preserve">1999 </v>
      </c>
      <c r="AT821" t="str">
        <f t="shared" si="323"/>
        <v>catc</v>
      </c>
    </row>
    <row r="822" spans="1:46" x14ac:dyDescent="0.25">
      <c r="A822">
        <v>811</v>
      </c>
      <c r="B822" t="str">
        <f>("289636")</f>
        <v>289636</v>
      </c>
      <c r="C822" t="str">
        <f>("W00002847")</f>
        <v>W00002847</v>
      </c>
      <c r="D822" t="str">
        <f>("Oracle performance tuning / ")</f>
        <v xml:space="preserve">Oracle performance tuning / </v>
      </c>
      <c r="E822" t="str">
        <f>("Gurry, Mark. ")</f>
        <v xml:space="preserve">Gurry, Mark. </v>
      </c>
      <c r="F822" t="str">
        <f>("O'Reilly &amp; Associates, ")</f>
        <v xml:space="preserve">O'Reilly &amp; Associates, </v>
      </c>
      <c r="G822" t="str">
        <f>("2nd ed. ")</f>
        <v xml:space="preserve">2nd ed. </v>
      </c>
      <c r="H822" t="str">
        <f t="shared" si="335"/>
        <v>圖書 book</v>
      </c>
      <c r="I822" t="str">
        <f>("QA76.9.D3 G978 1996")</f>
        <v>QA76.9.D3 G978 1996</v>
      </c>
      <c r="J822" t="str">
        <f>("1565922379")</f>
        <v>1565922379</v>
      </c>
      <c r="K822" t="str">
        <f>("1344")</f>
        <v>1344</v>
      </c>
      <c r="L822" t="str">
        <f t="shared" si="324"/>
        <v>2001/10/10 00:00:00</v>
      </c>
      <c r="M822" t="str">
        <f>("2018/08/11 13:34:53")</f>
        <v>2018/08/11 13:34:53</v>
      </c>
      <c r="N822" t="str">
        <f>("1996")</f>
        <v>1996</v>
      </c>
      <c r="O822" t="str">
        <f t="shared" si="336"/>
        <v>4F西文書庫 4F Western Language Books</v>
      </c>
      <c r="P822" t="s">
        <v>64</v>
      </c>
      <c r="W822" t="str">
        <f t="shared" si="339"/>
        <v>美國國會圖書分類法</v>
      </c>
      <c r="Y822" t="str">
        <f>("QA76.9.D3")</f>
        <v>QA76.9.D3</v>
      </c>
      <c r="Z822" t="str">
        <f>("2018/08/11 13:34:53")</f>
        <v>2018/08/11 13:34:53</v>
      </c>
      <c r="AA822" t="str">
        <f t="shared" si="321"/>
        <v>catc</v>
      </c>
      <c r="AC822" t="str">
        <f>("G978")</f>
        <v>G978</v>
      </c>
      <c r="AE822" t="str">
        <f t="shared" si="332"/>
        <v>c.1</v>
      </c>
      <c r="AF822" t="str">
        <f t="shared" si="337"/>
        <v>1.可借圖書</v>
      </c>
      <c r="AG822" t="str">
        <f t="shared" si="338"/>
        <v>在架</v>
      </c>
      <c r="AI822" t="s">
        <v>65</v>
      </c>
      <c r="AK822" t="str">
        <f t="shared" si="322"/>
        <v>一般(Normal)</v>
      </c>
      <c r="AO822" t="s">
        <v>65</v>
      </c>
      <c r="AS822" t="str">
        <f>("1996. ")</f>
        <v xml:space="preserve">1996. </v>
      </c>
      <c r="AT822" t="str">
        <f t="shared" si="323"/>
        <v>catc</v>
      </c>
    </row>
    <row r="823" spans="1:46" x14ac:dyDescent="0.25">
      <c r="A823">
        <v>812</v>
      </c>
      <c r="B823" t="str">
        <f>("289662")</f>
        <v>289662</v>
      </c>
      <c r="C823" t="str">
        <f>("W00002848")</f>
        <v>W00002848</v>
      </c>
      <c r="D823" t="str">
        <f>("Managing the Web-based enterprise /")</f>
        <v>Managing the Web-based enterprise /</v>
      </c>
      <c r="E823" t="str">
        <f>("Feiler, Jesse ")</f>
        <v xml:space="preserve">Feiler, Jesse </v>
      </c>
      <c r="F823" t="str">
        <f>("Morgan Kaufmann,")</f>
        <v>Morgan Kaufmann,</v>
      </c>
      <c r="H823" t="str">
        <f t="shared" si="335"/>
        <v>圖書 book</v>
      </c>
      <c r="I823" t="str">
        <f>("HF5548.32 F298 2000")</f>
        <v>HF5548.32 F298 2000</v>
      </c>
      <c r="J823" t="str">
        <f>("0122513398")</f>
        <v>0122513398</v>
      </c>
      <c r="K823" t="str">
        <f>("1152")</f>
        <v>1152</v>
      </c>
      <c r="L823" t="str">
        <f t="shared" si="324"/>
        <v>2001/10/10 00:00:00</v>
      </c>
      <c r="M823" t="str">
        <f t="shared" ref="M823:M831" si="340">("2018/08/11 13:34:55")</f>
        <v>2018/08/11 13:34:55</v>
      </c>
      <c r="N823" t="str">
        <f t="shared" ref="N823:N828" si="341">("2000")</f>
        <v>2000</v>
      </c>
      <c r="O823" t="str">
        <f t="shared" si="336"/>
        <v>4F西文書庫 4F Western Language Books</v>
      </c>
      <c r="P823" t="s">
        <v>64</v>
      </c>
      <c r="S823" t="str">
        <f>("xxiv, 323 p. :")</f>
        <v>xxiv, 323 p. :</v>
      </c>
      <c r="T823" t="str">
        <f>("ill. ;")</f>
        <v>ill. ;</v>
      </c>
      <c r="U823" t="str">
        <f>("24 cm ")</f>
        <v xml:space="preserve">24 cm </v>
      </c>
      <c r="W823" t="str">
        <f t="shared" si="339"/>
        <v>美國國會圖書分類法</v>
      </c>
      <c r="Y823" t="str">
        <f>("HF5548.32")</f>
        <v>HF5548.32</v>
      </c>
      <c r="Z823" t="str">
        <f t="shared" ref="Z823:Z832" si="342">("2018/08/11 13:34:55")</f>
        <v>2018/08/11 13:34:55</v>
      </c>
      <c r="AA823" t="str">
        <f t="shared" si="321"/>
        <v>catc</v>
      </c>
      <c r="AC823" t="str">
        <f>("F298")</f>
        <v>F298</v>
      </c>
      <c r="AE823" t="str">
        <f t="shared" si="332"/>
        <v>c.1</v>
      </c>
      <c r="AF823" t="str">
        <f t="shared" si="337"/>
        <v>1.可借圖書</v>
      </c>
      <c r="AG823" t="str">
        <f t="shared" si="338"/>
        <v>在架</v>
      </c>
      <c r="AI823" t="s">
        <v>65</v>
      </c>
      <c r="AK823" t="str">
        <f t="shared" si="322"/>
        <v>一般(Normal)</v>
      </c>
      <c r="AO823" t="s">
        <v>65</v>
      </c>
      <c r="AS823" t="str">
        <f>("c2000 ")</f>
        <v xml:space="preserve">c2000 </v>
      </c>
      <c r="AT823" t="str">
        <f t="shared" si="323"/>
        <v>catc</v>
      </c>
    </row>
    <row r="824" spans="1:46" x14ac:dyDescent="0.25">
      <c r="A824">
        <v>813</v>
      </c>
      <c r="B824" t="str">
        <f>("289663")</f>
        <v>289663</v>
      </c>
      <c r="C824" t="str">
        <f>("W00002849")</f>
        <v>W00002849</v>
      </c>
      <c r="D824" t="str">
        <f>("Active Directory services for Microsoft Windows 2000 : technical reference : the practical guide to planning and deploying Active Directory services / ")</f>
        <v xml:space="preserve">Active Directory services for Microsoft Windows 2000 : technical reference : the practical guide to planning and deploying Active Directory services / </v>
      </c>
      <c r="E824" t="str">
        <f>("Iseminger, David, 1969- ")</f>
        <v xml:space="preserve">Iseminger, David, 1969- </v>
      </c>
      <c r="F824" t="str">
        <f>("Microsoft, ")</f>
        <v xml:space="preserve">Microsoft, </v>
      </c>
      <c r="H824" t="str">
        <f t="shared" si="335"/>
        <v>圖書 book</v>
      </c>
      <c r="I824" t="str">
        <f>("TK5105.595 I78 2000")</f>
        <v>TK5105.595 I78 2000</v>
      </c>
      <c r="J824" t="str">
        <f>("0735606242")</f>
        <v>0735606242</v>
      </c>
      <c r="K824" t="str">
        <f>("1400")</f>
        <v>1400</v>
      </c>
      <c r="L824" t="str">
        <f t="shared" si="324"/>
        <v>2001/10/10 00:00:00</v>
      </c>
      <c r="M824" t="str">
        <f t="shared" si="340"/>
        <v>2018/08/11 13:34:55</v>
      </c>
      <c r="N824" t="str">
        <f t="shared" si="341"/>
        <v>2000</v>
      </c>
      <c r="O824" t="str">
        <f t="shared" si="336"/>
        <v>4F西文書庫 4F Western Language Books</v>
      </c>
      <c r="P824" t="s">
        <v>64</v>
      </c>
      <c r="W824" t="str">
        <f t="shared" si="339"/>
        <v>美國國會圖書分類法</v>
      </c>
      <c r="Y824" t="str">
        <f>("TK5105.595")</f>
        <v>TK5105.595</v>
      </c>
      <c r="Z824" t="str">
        <f t="shared" si="342"/>
        <v>2018/08/11 13:34:55</v>
      </c>
      <c r="AA824" t="str">
        <f t="shared" si="321"/>
        <v>catc</v>
      </c>
      <c r="AC824" t="str">
        <f>("I78")</f>
        <v>I78</v>
      </c>
      <c r="AE824" t="str">
        <f t="shared" si="332"/>
        <v>c.1</v>
      </c>
      <c r="AF824" t="str">
        <f t="shared" si="337"/>
        <v>1.可借圖書</v>
      </c>
      <c r="AG824" t="str">
        <f t="shared" si="338"/>
        <v>在架</v>
      </c>
      <c r="AI824" t="s">
        <v>65</v>
      </c>
      <c r="AK824" t="str">
        <f t="shared" si="322"/>
        <v>一般(Normal)</v>
      </c>
      <c r="AO824" t="s">
        <v>65</v>
      </c>
      <c r="AS824" t="str">
        <f>("c2000. ")</f>
        <v xml:space="preserve">c2000. </v>
      </c>
      <c r="AT824" t="str">
        <f t="shared" si="323"/>
        <v>catc</v>
      </c>
    </row>
    <row r="825" spans="1:46" x14ac:dyDescent="0.25">
      <c r="A825">
        <v>814</v>
      </c>
      <c r="B825" t="str">
        <f>("289664")</f>
        <v>289664</v>
      </c>
      <c r="C825" t="str">
        <f>("W00002850")</f>
        <v>W00002850</v>
      </c>
      <c r="D825" t="str">
        <f>("Mastering Windows 2000 Professional /")</f>
        <v>Mastering Windows 2000 Professional /</v>
      </c>
      <c r="E825" t="str">
        <f>("Minasi, Mark ")</f>
        <v xml:space="preserve">Minasi, Mark </v>
      </c>
      <c r="F825" t="str">
        <f>("SYBEX,")</f>
        <v>SYBEX,</v>
      </c>
      <c r="G825" t="str">
        <f>("1st ed ")</f>
        <v xml:space="preserve">1st ed </v>
      </c>
      <c r="H825" t="str">
        <f t="shared" si="335"/>
        <v>圖書 book</v>
      </c>
      <c r="I825" t="str">
        <f>("QA76.76.O63 M663 2000")</f>
        <v>QA76.76.O63 M663 2000</v>
      </c>
      <c r="J825" t="str">
        <f>("078212853X")</f>
        <v>078212853X</v>
      </c>
      <c r="K825" t="str">
        <f>("1120")</f>
        <v>1120</v>
      </c>
      <c r="L825" t="str">
        <f t="shared" si="324"/>
        <v>2001/10/10 00:00:00</v>
      </c>
      <c r="M825" t="str">
        <f t="shared" si="340"/>
        <v>2018/08/11 13:34:55</v>
      </c>
      <c r="N825" t="str">
        <f t="shared" si="341"/>
        <v>2000</v>
      </c>
      <c r="O825" t="str">
        <f t="shared" si="336"/>
        <v>4F西文書庫 4F Western Language Books</v>
      </c>
      <c r="P825" t="s">
        <v>64</v>
      </c>
      <c r="W825" t="str">
        <f t="shared" si="339"/>
        <v>美國國會圖書分類法</v>
      </c>
      <c r="Y825" t="str">
        <f>("QA76.76.O63")</f>
        <v>QA76.76.O63</v>
      </c>
      <c r="Z825" t="str">
        <f t="shared" si="342"/>
        <v>2018/08/11 13:34:55</v>
      </c>
      <c r="AA825" t="str">
        <f t="shared" si="321"/>
        <v>catc</v>
      </c>
      <c r="AC825" t="str">
        <f>("M663")</f>
        <v>M663</v>
      </c>
      <c r="AE825" t="str">
        <f t="shared" si="332"/>
        <v>c.1</v>
      </c>
      <c r="AF825" t="str">
        <f t="shared" si="337"/>
        <v>1.可借圖書</v>
      </c>
      <c r="AG825" t="str">
        <f t="shared" si="338"/>
        <v>在架</v>
      </c>
      <c r="AI825" t="s">
        <v>65</v>
      </c>
      <c r="AK825" t="str">
        <f t="shared" si="322"/>
        <v>一般(Normal)</v>
      </c>
      <c r="AO825" t="s">
        <v>65</v>
      </c>
      <c r="AS825" t="str">
        <f>("c2000 ")</f>
        <v xml:space="preserve">c2000 </v>
      </c>
      <c r="AT825" t="str">
        <f t="shared" si="323"/>
        <v>catc</v>
      </c>
    </row>
    <row r="826" spans="1:46" x14ac:dyDescent="0.25">
      <c r="A826">
        <v>815</v>
      </c>
      <c r="B826" t="str">
        <f>("289665")</f>
        <v>289665</v>
      </c>
      <c r="C826" t="str">
        <f>("W00002851")</f>
        <v>W00002851</v>
      </c>
      <c r="D826" t="str">
        <f>("Debugging C++ : troubleshooting for programmers / ")</f>
        <v xml:space="preserve">Debugging C++ : troubleshooting for programmers / </v>
      </c>
      <c r="E826" t="str">
        <f>("Pappas, Chris H., 1953- ")</f>
        <v xml:space="preserve">Pappas, Chris H., 1953- </v>
      </c>
      <c r="F826" t="str">
        <f>("Osborne/McGraw-Hill, ")</f>
        <v xml:space="preserve">Osborne/McGraw-Hill, </v>
      </c>
      <c r="H826" t="str">
        <f t="shared" si="335"/>
        <v>圖書 book</v>
      </c>
      <c r="I826" t="str">
        <f>("TK5105.8885 P213 2000")</f>
        <v>TK5105.8885 P213 2000</v>
      </c>
      <c r="J826" t="str">
        <f>("0072125195")</f>
        <v>0072125195</v>
      </c>
      <c r="K826" t="str">
        <f>("1120")</f>
        <v>1120</v>
      </c>
      <c r="L826" t="str">
        <f t="shared" si="324"/>
        <v>2001/10/10 00:00:00</v>
      </c>
      <c r="M826" t="str">
        <f t="shared" si="340"/>
        <v>2018/08/11 13:34:55</v>
      </c>
      <c r="N826" t="str">
        <f t="shared" si="341"/>
        <v>2000</v>
      </c>
      <c r="O826" t="str">
        <f t="shared" si="336"/>
        <v>4F西文書庫 4F Western Language Books</v>
      </c>
      <c r="P826" t="s">
        <v>64</v>
      </c>
      <c r="W826" t="str">
        <f t="shared" si="339"/>
        <v>美國國會圖書分類法</v>
      </c>
      <c r="Y826" t="str">
        <f>("TK5105.8885")</f>
        <v>TK5105.8885</v>
      </c>
      <c r="Z826" t="str">
        <f t="shared" si="342"/>
        <v>2018/08/11 13:34:55</v>
      </c>
      <c r="AA826" t="str">
        <f t="shared" si="321"/>
        <v>catc</v>
      </c>
      <c r="AC826" t="str">
        <f>("P213")</f>
        <v>P213</v>
      </c>
      <c r="AE826" t="str">
        <f t="shared" si="332"/>
        <v>c.1</v>
      </c>
      <c r="AF826" t="str">
        <f t="shared" si="337"/>
        <v>1.可借圖書</v>
      </c>
      <c r="AG826" t="str">
        <f t="shared" si="338"/>
        <v>在架</v>
      </c>
      <c r="AI826" t="s">
        <v>65</v>
      </c>
      <c r="AK826" t="str">
        <f t="shared" si="322"/>
        <v>一般(Normal)</v>
      </c>
      <c r="AO826" t="s">
        <v>65</v>
      </c>
      <c r="AS826" t="str">
        <f>("2000. ")</f>
        <v xml:space="preserve">2000. </v>
      </c>
      <c r="AT826" t="str">
        <f t="shared" si="323"/>
        <v>catc</v>
      </c>
    </row>
    <row r="827" spans="1:46" x14ac:dyDescent="0.25">
      <c r="A827">
        <v>816</v>
      </c>
      <c r="B827" t="str">
        <f>("289648")</f>
        <v>289648</v>
      </c>
      <c r="C827" t="str">
        <f>("W00002852")</f>
        <v>W00002852</v>
      </c>
      <c r="D827" t="str">
        <f>("Internet Open Trading Protocol / ")</f>
        <v xml:space="preserve">Internet Open Trading Protocol / </v>
      </c>
      <c r="E827" t="str">
        <f>("Burdett, David. ")</f>
        <v xml:space="preserve">Burdett, David. </v>
      </c>
      <c r="F827" t="str">
        <f>("McGraw-Hill, ")</f>
        <v xml:space="preserve">McGraw-Hill, </v>
      </c>
      <c r="H827" t="str">
        <f t="shared" si="335"/>
        <v>圖書 book</v>
      </c>
      <c r="I827" t="str">
        <f>("HF5548.32 B951 2000")</f>
        <v>HF5548.32 B951 2000</v>
      </c>
      <c r="J827" t="str">
        <f>("0071355014")</f>
        <v>0071355014</v>
      </c>
      <c r="K827" t="str">
        <f>("1498")</f>
        <v>1498</v>
      </c>
      <c r="L827" t="str">
        <f t="shared" si="324"/>
        <v>2001/10/10 00:00:00</v>
      </c>
      <c r="M827" t="str">
        <f t="shared" si="340"/>
        <v>2018/08/11 13:34:55</v>
      </c>
      <c r="N827" t="str">
        <f t="shared" si="341"/>
        <v>2000</v>
      </c>
      <c r="O827" t="str">
        <f t="shared" si="336"/>
        <v>4F西文書庫 4F Western Language Books</v>
      </c>
      <c r="P827" t="s">
        <v>64</v>
      </c>
      <c r="W827" t="str">
        <f t="shared" si="339"/>
        <v>美國國會圖書分類法</v>
      </c>
      <c r="Y827" t="str">
        <f>("HF5548.32")</f>
        <v>HF5548.32</v>
      </c>
      <c r="Z827" t="str">
        <f t="shared" si="342"/>
        <v>2018/08/11 13:34:55</v>
      </c>
      <c r="AA827" t="str">
        <f t="shared" si="321"/>
        <v>catc</v>
      </c>
      <c r="AC827" t="str">
        <f>("B951")</f>
        <v>B951</v>
      </c>
      <c r="AE827" t="str">
        <f t="shared" si="332"/>
        <v>c.1</v>
      </c>
      <c r="AF827" t="str">
        <f t="shared" si="337"/>
        <v>1.可借圖書</v>
      </c>
      <c r="AG827" t="str">
        <f t="shared" si="338"/>
        <v>在架</v>
      </c>
      <c r="AI827" t="s">
        <v>65</v>
      </c>
      <c r="AK827" t="str">
        <f t="shared" si="322"/>
        <v>一般(Normal)</v>
      </c>
      <c r="AO827" t="s">
        <v>65</v>
      </c>
      <c r="AS827" t="str">
        <f>("c2000. ")</f>
        <v xml:space="preserve">c2000. </v>
      </c>
      <c r="AT827" t="str">
        <f t="shared" si="323"/>
        <v>catc</v>
      </c>
    </row>
    <row r="828" spans="1:46" x14ac:dyDescent="0.25">
      <c r="A828">
        <v>817</v>
      </c>
      <c r="B828" t="str">
        <f>("289649")</f>
        <v>289649</v>
      </c>
      <c r="C828" t="str">
        <f>("W00002853")</f>
        <v>W00002853</v>
      </c>
      <c r="D828" t="str">
        <f>("Design patterns and contracts / ")</f>
        <v xml:space="preserve">Design patterns and contracts / </v>
      </c>
      <c r="E828" t="str">
        <f>("Jezequel, Jean-Marc,  1964- ")</f>
        <v xml:space="preserve">Jezequel, Jean-Marc,  1964- </v>
      </c>
      <c r="F828" t="str">
        <f>("Addison-Wesley, ")</f>
        <v xml:space="preserve">Addison-Wesley, </v>
      </c>
      <c r="H828" t="str">
        <f t="shared" si="335"/>
        <v>圖書 book</v>
      </c>
      <c r="I828" t="str">
        <f>("QA76.76.D47 J43 2000")</f>
        <v>QA76.76.D47 J43 2000</v>
      </c>
      <c r="J828" t="str">
        <f>("0201309599")</f>
        <v>0201309599</v>
      </c>
      <c r="K828" t="str">
        <f>("1120")</f>
        <v>1120</v>
      </c>
      <c r="L828" t="str">
        <f t="shared" si="324"/>
        <v>2001/10/10 00:00:00</v>
      </c>
      <c r="M828" t="str">
        <f t="shared" si="340"/>
        <v>2018/08/11 13:34:55</v>
      </c>
      <c r="N828" t="str">
        <f t="shared" si="341"/>
        <v>2000</v>
      </c>
      <c r="O828" t="str">
        <f t="shared" si="336"/>
        <v>4F西文書庫 4F Western Language Books</v>
      </c>
      <c r="P828" t="s">
        <v>64</v>
      </c>
      <c r="W828" t="str">
        <f t="shared" si="339"/>
        <v>美國國會圖書分類法</v>
      </c>
      <c r="Y828" t="str">
        <f>("QA76.76.D47")</f>
        <v>QA76.76.D47</v>
      </c>
      <c r="Z828" t="str">
        <f t="shared" si="342"/>
        <v>2018/08/11 13:34:55</v>
      </c>
      <c r="AA828" t="str">
        <f t="shared" si="321"/>
        <v>catc</v>
      </c>
      <c r="AC828" t="str">
        <f>("J43")</f>
        <v>J43</v>
      </c>
      <c r="AE828" t="str">
        <f t="shared" si="332"/>
        <v>c.1</v>
      </c>
      <c r="AF828" t="str">
        <f t="shared" si="337"/>
        <v>1.可借圖書</v>
      </c>
      <c r="AG828" t="str">
        <f t="shared" si="338"/>
        <v>在架</v>
      </c>
      <c r="AI828" t="s">
        <v>65</v>
      </c>
      <c r="AK828" t="str">
        <f t="shared" si="322"/>
        <v>一般(Normal)</v>
      </c>
      <c r="AO828" t="s">
        <v>65</v>
      </c>
      <c r="AS828" t="str">
        <f>("c2000. ")</f>
        <v xml:space="preserve">c2000. </v>
      </c>
      <c r="AT828" t="str">
        <f t="shared" si="323"/>
        <v>catc</v>
      </c>
    </row>
    <row r="829" spans="1:46" x14ac:dyDescent="0.25">
      <c r="A829">
        <v>818</v>
      </c>
      <c r="B829" t="str">
        <f>("289650")</f>
        <v>289650</v>
      </c>
      <c r="C829" t="str">
        <f>("W00002854")</f>
        <v>W00002854</v>
      </c>
      <c r="D829" t="str">
        <f>("Cryptography decrypted / ")</f>
        <v xml:space="preserve">Cryptography decrypted / </v>
      </c>
      <c r="E829" t="str">
        <f>("Mel, H. X., 1948- ")</f>
        <v xml:space="preserve">Mel, H. X., 1948- </v>
      </c>
      <c r="F829" t="str">
        <f>("Addison-Wesley, ")</f>
        <v xml:space="preserve">Addison-Wesley, </v>
      </c>
      <c r="H829" t="str">
        <f t="shared" si="335"/>
        <v>圖書 book</v>
      </c>
      <c r="I829" t="str">
        <f>("QA76.9.A25 M517 2001")</f>
        <v>QA76.9.A25 M517 2001</v>
      </c>
      <c r="J829" t="str">
        <f>("0201616475")</f>
        <v>0201616475</v>
      </c>
      <c r="K829" t="str">
        <f>("840")</f>
        <v>840</v>
      </c>
      <c r="L829" t="str">
        <f t="shared" si="324"/>
        <v>2001/10/10 00:00:00</v>
      </c>
      <c r="M829" t="str">
        <f t="shared" si="340"/>
        <v>2018/08/11 13:34:55</v>
      </c>
      <c r="N829" t="str">
        <f>("2001")</f>
        <v>2001</v>
      </c>
      <c r="O829" t="str">
        <f t="shared" si="336"/>
        <v>4F西文書庫 4F Western Language Books</v>
      </c>
      <c r="P829" t="s">
        <v>64</v>
      </c>
      <c r="W829" t="str">
        <f t="shared" si="339"/>
        <v>美國國會圖書分類法</v>
      </c>
      <c r="Y829" t="str">
        <f>("QA76.9.A25")</f>
        <v>QA76.9.A25</v>
      </c>
      <c r="Z829" t="str">
        <f t="shared" si="342"/>
        <v>2018/08/11 13:34:55</v>
      </c>
      <c r="AA829" t="str">
        <f t="shared" si="321"/>
        <v>catc</v>
      </c>
      <c r="AC829" t="str">
        <f>("M517")</f>
        <v>M517</v>
      </c>
      <c r="AE829" t="str">
        <f t="shared" si="332"/>
        <v>c.1</v>
      </c>
      <c r="AF829" t="str">
        <f t="shared" si="337"/>
        <v>1.可借圖書</v>
      </c>
      <c r="AG829" t="str">
        <f t="shared" si="338"/>
        <v>在架</v>
      </c>
      <c r="AI829" t="s">
        <v>65</v>
      </c>
      <c r="AK829" t="str">
        <f t="shared" si="322"/>
        <v>一般(Normal)</v>
      </c>
      <c r="AO829" t="s">
        <v>65</v>
      </c>
      <c r="AS829" t="str">
        <f>("2001. ")</f>
        <v xml:space="preserve">2001. </v>
      </c>
      <c r="AT829" t="str">
        <f t="shared" si="323"/>
        <v>catc</v>
      </c>
    </row>
    <row r="830" spans="1:46" x14ac:dyDescent="0.25">
      <c r="A830">
        <v>819</v>
      </c>
      <c r="B830" t="str">
        <f>("289651")</f>
        <v>289651</v>
      </c>
      <c r="C830" t="str">
        <f>("W00002855")</f>
        <v>W00002855</v>
      </c>
      <c r="D830" t="str">
        <f>("Integrating Linux and Windows / ")</f>
        <v xml:space="preserve">Integrating Linux and Windows / </v>
      </c>
      <c r="E830" t="str">
        <f>("McCune, Mike. ")</f>
        <v xml:space="preserve">McCune, Mike. </v>
      </c>
      <c r="F830" t="str">
        <f>("Prentice Hall, ")</f>
        <v xml:space="preserve">Prentice Hall, </v>
      </c>
      <c r="H830" t="str">
        <f t="shared" si="335"/>
        <v>圖書 book</v>
      </c>
      <c r="I830" t="str">
        <f>("QA76.76.O63 M111:2 2000")</f>
        <v>QA76.76.O63 M111:2 2000</v>
      </c>
      <c r="J830" t="str">
        <f>("0130306703")</f>
        <v>0130306703</v>
      </c>
      <c r="K830" t="str">
        <f>("1120")</f>
        <v>1120</v>
      </c>
      <c r="L830" t="str">
        <f t="shared" si="324"/>
        <v>2001/10/10 00:00:00</v>
      </c>
      <c r="M830" t="str">
        <f t="shared" si="340"/>
        <v>2018/08/11 13:34:55</v>
      </c>
      <c r="N830" t="str">
        <f>("2000")</f>
        <v>2000</v>
      </c>
      <c r="O830" t="str">
        <f t="shared" si="336"/>
        <v>4F西文書庫 4F Western Language Books</v>
      </c>
      <c r="P830" t="s">
        <v>64</v>
      </c>
      <c r="W830" t="str">
        <f t="shared" si="339"/>
        <v>美國國會圖書分類法</v>
      </c>
      <c r="Y830" t="str">
        <f>("QA76.76.O63")</f>
        <v>QA76.76.O63</v>
      </c>
      <c r="Z830" t="str">
        <f t="shared" si="342"/>
        <v>2018/08/11 13:34:55</v>
      </c>
      <c r="AA830" t="str">
        <f t="shared" si="321"/>
        <v>catc</v>
      </c>
      <c r="AC830" t="str">
        <f>("M111:2")</f>
        <v>M111:2</v>
      </c>
      <c r="AE830" t="str">
        <f t="shared" si="332"/>
        <v>c.1</v>
      </c>
      <c r="AF830" t="str">
        <f t="shared" si="337"/>
        <v>1.可借圖書</v>
      </c>
      <c r="AG830" t="str">
        <f t="shared" si="338"/>
        <v>在架</v>
      </c>
      <c r="AI830" t="s">
        <v>65</v>
      </c>
      <c r="AK830" t="str">
        <f t="shared" si="322"/>
        <v>一般(Normal)</v>
      </c>
      <c r="AO830" t="s">
        <v>65</v>
      </c>
      <c r="AS830" t="str">
        <f>("2001. ")</f>
        <v xml:space="preserve">2001. </v>
      </c>
      <c r="AT830" t="str">
        <f t="shared" si="323"/>
        <v>catc</v>
      </c>
    </row>
    <row r="831" spans="1:46" x14ac:dyDescent="0.25">
      <c r="A831">
        <v>820</v>
      </c>
      <c r="B831" t="str">
        <f>("289652")</f>
        <v>289652</v>
      </c>
      <c r="C831" t="str">
        <f>("W00002856")</f>
        <v>W00002856</v>
      </c>
      <c r="D831" t="str">
        <f>("Cisco access lists field guide / ")</f>
        <v xml:space="preserve">Cisco access lists field guide / </v>
      </c>
      <c r="E831" t="str">
        <f>("Held, Gilbert, 1943- ")</f>
        <v xml:space="preserve">Held, Gilbert, 1943- </v>
      </c>
      <c r="F831" t="str">
        <f>("McGraw-Hill, ")</f>
        <v xml:space="preserve">McGraw-Hill, </v>
      </c>
      <c r="H831" t="str">
        <f t="shared" si="335"/>
        <v>圖書 book</v>
      </c>
      <c r="I831" t="str">
        <f>("TK5105.59 H474-2 2000")</f>
        <v>TK5105.59 H474-2 2000</v>
      </c>
      <c r="J831" t="str">
        <f>("0072123354")</f>
        <v>0072123354</v>
      </c>
      <c r="K831" t="str">
        <f>("840")</f>
        <v>840</v>
      </c>
      <c r="L831" t="str">
        <f t="shared" si="324"/>
        <v>2001/10/10 00:00:00</v>
      </c>
      <c r="M831" t="str">
        <f t="shared" si="340"/>
        <v>2018/08/11 13:34:55</v>
      </c>
      <c r="N831" t="str">
        <f>("2000")</f>
        <v>2000</v>
      </c>
      <c r="O831" t="str">
        <f t="shared" si="336"/>
        <v>4F西文書庫 4F Western Language Books</v>
      </c>
      <c r="P831" t="s">
        <v>64</v>
      </c>
      <c r="W831" t="str">
        <f t="shared" si="339"/>
        <v>美國國會圖書分類法</v>
      </c>
      <c r="Y831" t="str">
        <f>("TK5105.59")</f>
        <v>TK5105.59</v>
      </c>
      <c r="Z831" t="str">
        <f t="shared" si="342"/>
        <v>2018/08/11 13:34:55</v>
      </c>
      <c r="AA831" t="str">
        <f t="shared" si="321"/>
        <v>catc</v>
      </c>
      <c r="AC831" t="str">
        <f>("H474-2")</f>
        <v>H474-2</v>
      </c>
      <c r="AE831" t="str">
        <f t="shared" si="332"/>
        <v>c.1</v>
      </c>
      <c r="AF831" t="str">
        <f t="shared" si="337"/>
        <v>1.可借圖書</v>
      </c>
      <c r="AG831" t="str">
        <f t="shared" si="338"/>
        <v>在架</v>
      </c>
      <c r="AI831" t="s">
        <v>65</v>
      </c>
      <c r="AK831" t="str">
        <f t="shared" si="322"/>
        <v>一般(Normal)</v>
      </c>
      <c r="AO831" t="s">
        <v>65</v>
      </c>
      <c r="AS831" t="str">
        <f>("c1999. ")</f>
        <v xml:space="preserve">c1999. </v>
      </c>
      <c r="AT831" t="str">
        <f t="shared" si="323"/>
        <v>catc</v>
      </c>
    </row>
    <row r="832" spans="1:46" x14ac:dyDescent="0.25">
      <c r="A832">
        <v>821</v>
      </c>
      <c r="B832" t="str">
        <f>("289653")</f>
        <v>289653</v>
      </c>
      <c r="C832" t="str">
        <f>("W00002857")</f>
        <v>W00002857</v>
      </c>
      <c r="D832" t="str">
        <f>("Essential PHP for Web professionals / ")</f>
        <v xml:space="preserve">Essential PHP for Web professionals / </v>
      </c>
      <c r="E832" t="str">
        <f>("Cosentino, Christopher. ")</f>
        <v xml:space="preserve">Cosentino, Christopher. </v>
      </c>
      <c r="F832" t="str">
        <f>("Prentice Hall, ")</f>
        <v xml:space="preserve">Prentice Hall, </v>
      </c>
      <c r="H832" t="str">
        <f t="shared" si="335"/>
        <v>圖書 book</v>
      </c>
      <c r="I832" t="str">
        <f>("QA76.73.P224 C834 2001")</f>
        <v>QA76.73.P224 C834 2001</v>
      </c>
      <c r="J832" t="str">
        <f>("0130889032")</f>
        <v>0130889032</v>
      </c>
      <c r="K832" t="str">
        <f>("840")</f>
        <v>840</v>
      </c>
      <c r="L832" t="str">
        <f t="shared" si="324"/>
        <v>2001/10/10 00:00:00</v>
      </c>
      <c r="M832" t="str">
        <f t="shared" ref="M832:M842" si="343">("2018/08/11 13:34:56")</f>
        <v>2018/08/11 13:34:56</v>
      </c>
      <c r="N832" t="str">
        <f>("2001")</f>
        <v>2001</v>
      </c>
      <c r="O832" t="str">
        <f t="shared" si="336"/>
        <v>4F西文書庫 4F Western Language Books</v>
      </c>
      <c r="P832" t="s">
        <v>64</v>
      </c>
      <c r="W832" t="str">
        <f t="shared" si="339"/>
        <v>美國國會圖書分類法</v>
      </c>
      <c r="Y832" t="str">
        <f>("QA76.73.P224")</f>
        <v>QA76.73.P224</v>
      </c>
      <c r="Z832" t="str">
        <f t="shared" si="342"/>
        <v>2018/08/11 13:34:55</v>
      </c>
      <c r="AA832" t="str">
        <f t="shared" si="321"/>
        <v>catc</v>
      </c>
      <c r="AC832" t="str">
        <f>("C834")</f>
        <v>C834</v>
      </c>
      <c r="AE832" t="str">
        <f t="shared" si="332"/>
        <v>c.1</v>
      </c>
      <c r="AF832" t="str">
        <f t="shared" si="337"/>
        <v>1.可借圖書</v>
      </c>
      <c r="AG832" t="str">
        <f t="shared" si="338"/>
        <v>在架</v>
      </c>
      <c r="AI832" t="s">
        <v>65</v>
      </c>
      <c r="AK832" t="str">
        <f t="shared" si="322"/>
        <v>一般(Normal)</v>
      </c>
      <c r="AO832" t="s">
        <v>65</v>
      </c>
      <c r="AS832" t="str">
        <f>("2001. ")</f>
        <v xml:space="preserve">2001. </v>
      </c>
      <c r="AT832" t="str">
        <f t="shared" si="323"/>
        <v>catc</v>
      </c>
    </row>
    <row r="833" spans="1:46" x14ac:dyDescent="0.25">
      <c r="A833">
        <v>822</v>
      </c>
      <c r="B833" t="str">
        <f>("289654")</f>
        <v>289654</v>
      </c>
      <c r="C833" t="str">
        <f>("W00002858")</f>
        <v>W00002858</v>
      </c>
      <c r="D833" t="str">
        <f>("Java Card technology for Smart Cards : architecture and programmer's guide / ")</f>
        <v xml:space="preserve">Java Card technology for Smart Cards : architecture and programmer's guide / </v>
      </c>
      <c r="E833" t="str">
        <f>("Chen, Zhiqun, 1969- ")</f>
        <v xml:space="preserve">Chen, Zhiqun, 1969- </v>
      </c>
      <c r="F833" t="str">
        <f>("Addison-Wesley, ")</f>
        <v xml:space="preserve">Addison-Wesley, </v>
      </c>
      <c r="H833" t="str">
        <f t="shared" si="335"/>
        <v>圖書 book</v>
      </c>
      <c r="I833" t="str">
        <f>("QA76.73.J38 C518 2000")</f>
        <v>QA76.73.J38 C518 2000</v>
      </c>
      <c r="J833" t="str">
        <f>("0201703297")</f>
        <v>0201703297</v>
      </c>
      <c r="K833" t="str">
        <f>("1120")</f>
        <v>1120</v>
      </c>
      <c r="L833" t="str">
        <f t="shared" si="324"/>
        <v>2001/10/10 00:00:00</v>
      </c>
      <c r="M833" t="str">
        <f t="shared" si="343"/>
        <v>2018/08/11 13:34:56</v>
      </c>
      <c r="N833" t="str">
        <f>("2000")</f>
        <v>2000</v>
      </c>
      <c r="O833" t="str">
        <f t="shared" si="336"/>
        <v>4F西文書庫 4F Western Language Books</v>
      </c>
      <c r="P833" t="s">
        <v>64</v>
      </c>
      <c r="W833" t="str">
        <f t="shared" si="339"/>
        <v>美國國會圖書分類法</v>
      </c>
      <c r="Y833" t="str">
        <f>("QA76.73.J38")</f>
        <v>QA76.73.J38</v>
      </c>
      <c r="Z833" t="str">
        <f t="shared" ref="Z833:Z843" si="344">("2018/08/11 13:34:56")</f>
        <v>2018/08/11 13:34:56</v>
      </c>
      <c r="AA833" t="str">
        <f t="shared" si="321"/>
        <v>catc</v>
      </c>
      <c r="AC833" t="str">
        <f>("C518")</f>
        <v>C518</v>
      </c>
      <c r="AE833" t="str">
        <f t="shared" si="332"/>
        <v>c.1</v>
      </c>
      <c r="AF833" t="str">
        <f t="shared" si="337"/>
        <v>1.可借圖書</v>
      </c>
      <c r="AG833" t="str">
        <f t="shared" si="338"/>
        <v>在架</v>
      </c>
      <c r="AI833" t="s">
        <v>65</v>
      </c>
      <c r="AK833" t="str">
        <f t="shared" si="322"/>
        <v>一般(Normal)</v>
      </c>
      <c r="AO833" t="s">
        <v>65</v>
      </c>
      <c r="AS833" t="str">
        <f>("2000. ")</f>
        <v xml:space="preserve">2000. </v>
      </c>
      <c r="AT833" t="str">
        <f t="shared" si="323"/>
        <v>catc</v>
      </c>
    </row>
    <row r="834" spans="1:46" x14ac:dyDescent="0.25">
      <c r="A834">
        <v>823</v>
      </c>
      <c r="B834" t="str">
        <f>("289655")</f>
        <v>289655</v>
      </c>
      <c r="C834" t="str">
        <f>("W00002859")</f>
        <v>W00002859</v>
      </c>
      <c r="D834" t="str">
        <f>("Managing distributed applications : troubleshooting in a heterogeneous environment / ")</f>
        <v xml:space="preserve">Managing distributed applications : troubleshooting in a heterogeneous environment / </v>
      </c>
      <c r="E834" t="str">
        <f>("Hicks, Mike, 1967- ")</f>
        <v xml:space="preserve">Hicks, Mike, 1967- </v>
      </c>
      <c r="F834" t="str">
        <f>("Prentice Hall PTR, ")</f>
        <v xml:space="preserve">Prentice Hall PTR, </v>
      </c>
      <c r="H834" t="str">
        <f t="shared" si="335"/>
        <v>圖書 book</v>
      </c>
      <c r="I834" t="str">
        <f>("QA76.9.D5 H631 2001")</f>
        <v>QA76.9.D5 H631 2001</v>
      </c>
      <c r="J834" t="str">
        <f>("0130177644")</f>
        <v>0130177644</v>
      </c>
      <c r="K834" t="str">
        <f>("1120")</f>
        <v>1120</v>
      </c>
      <c r="L834" t="str">
        <f t="shared" si="324"/>
        <v>2001/10/10 00:00:00</v>
      </c>
      <c r="M834" t="str">
        <f t="shared" si="343"/>
        <v>2018/08/11 13:34:56</v>
      </c>
      <c r="N834" t="str">
        <f>("2001")</f>
        <v>2001</v>
      </c>
      <c r="O834" t="str">
        <f t="shared" si="336"/>
        <v>4F西文書庫 4F Western Language Books</v>
      </c>
      <c r="P834" t="s">
        <v>64</v>
      </c>
      <c r="W834" t="str">
        <f t="shared" si="339"/>
        <v>美國國會圖書分類法</v>
      </c>
      <c r="Y834" t="str">
        <f>("QA76.9.D5")</f>
        <v>QA76.9.D5</v>
      </c>
      <c r="Z834" t="str">
        <f t="shared" si="344"/>
        <v>2018/08/11 13:34:56</v>
      </c>
      <c r="AA834" t="str">
        <f t="shared" si="321"/>
        <v>catc</v>
      </c>
      <c r="AC834" t="str">
        <f>("H631")</f>
        <v>H631</v>
      </c>
      <c r="AE834" t="str">
        <f t="shared" si="332"/>
        <v>c.1</v>
      </c>
      <c r="AF834" t="str">
        <f t="shared" si="337"/>
        <v>1.可借圖書</v>
      </c>
      <c r="AG834" t="str">
        <f t="shared" si="338"/>
        <v>在架</v>
      </c>
      <c r="AI834" t="s">
        <v>65</v>
      </c>
      <c r="AK834" t="str">
        <f t="shared" si="322"/>
        <v>一般(Normal)</v>
      </c>
      <c r="AO834" t="s">
        <v>65</v>
      </c>
      <c r="AS834" t="str">
        <f>("c2001. ")</f>
        <v xml:space="preserve">c2001. </v>
      </c>
      <c r="AT834" t="str">
        <f t="shared" si="323"/>
        <v>catc</v>
      </c>
    </row>
    <row r="835" spans="1:46" x14ac:dyDescent="0.25">
      <c r="A835">
        <v>824</v>
      </c>
      <c r="B835" t="str">
        <f>("289656")</f>
        <v>289656</v>
      </c>
      <c r="C835" t="str">
        <f>("W00002860")</f>
        <v>W00002860</v>
      </c>
      <c r="D835" t="str">
        <f>("CorelDRAW 10 : the official guide / ")</f>
        <v xml:space="preserve">CorelDRAW 10 : the official guide / </v>
      </c>
      <c r="E835" t="str">
        <f>("Bain, Steve. ")</f>
        <v xml:space="preserve">Bain, Steve. </v>
      </c>
      <c r="F835" t="str">
        <f>("Osborne/McGraw-Hill, ")</f>
        <v xml:space="preserve">Osborne/McGraw-Hill, </v>
      </c>
      <c r="H835" t="str">
        <f t="shared" si="335"/>
        <v>圖書 book</v>
      </c>
      <c r="I835" t="str">
        <f>("T385 B162 2001")</f>
        <v>T385 B162 2001</v>
      </c>
      <c r="J835" t="str">
        <f>("0072130148")</f>
        <v>0072130148</v>
      </c>
      <c r="K835" t="str">
        <f>("1400")</f>
        <v>1400</v>
      </c>
      <c r="L835" t="str">
        <f t="shared" si="324"/>
        <v>2001/10/10 00:00:00</v>
      </c>
      <c r="M835" t="str">
        <f t="shared" si="343"/>
        <v>2018/08/11 13:34:56</v>
      </c>
      <c r="N835" t="str">
        <f>("2001")</f>
        <v>2001</v>
      </c>
      <c r="O835" t="str">
        <f t="shared" si="336"/>
        <v>4F西文書庫 4F Western Language Books</v>
      </c>
      <c r="P835" t="s">
        <v>64</v>
      </c>
      <c r="W835" t="str">
        <f t="shared" si="339"/>
        <v>美國國會圖書分類法</v>
      </c>
      <c r="Y835" t="str">
        <f>("T385")</f>
        <v>T385</v>
      </c>
      <c r="Z835" t="str">
        <f t="shared" si="344"/>
        <v>2018/08/11 13:34:56</v>
      </c>
      <c r="AA835" t="str">
        <f t="shared" si="321"/>
        <v>catc</v>
      </c>
      <c r="AC835" t="str">
        <f>("B162")</f>
        <v>B162</v>
      </c>
      <c r="AE835" t="str">
        <f t="shared" si="332"/>
        <v>c.1</v>
      </c>
      <c r="AF835" t="str">
        <f t="shared" si="337"/>
        <v>1.可借圖書</v>
      </c>
      <c r="AG835" t="str">
        <f t="shared" si="338"/>
        <v>在架</v>
      </c>
      <c r="AI835" t="s">
        <v>65</v>
      </c>
      <c r="AK835" t="str">
        <f t="shared" si="322"/>
        <v>一般(Normal)</v>
      </c>
      <c r="AO835" t="s">
        <v>65</v>
      </c>
      <c r="AS835" t="str">
        <f>("c2001. ")</f>
        <v xml:space="preserve">c2001. </v>
      </c>
      <c r="AT835" t="str">
        <f t="shared" si="323"/>
        <v>catc</v>
      </c>
    </row>
    <row r="836" spans="1:46" x14ac:dyDescent="0.25">
      <c r="A836">
        <v>825</v>
      </c>
      <c r="B836" t="str">
        <f>("289657")</f>
        <v>289657</v>
      </c>
      <c r="C836" t="str">
        <f>("W00002861")</f>
        <v>W00002861</v>
      </c>
      <c r="D836" t="str">
        <f>("Interworking technologies handbook / ")</f>
        <v xml:space="preserve">Interworking technologies handbook / </v>
      </c>
      <c r="E836" t="str">
        <f>("Cisco Systems, Inc. ")</f>
        <v xml:space="preserve">Cisco Systems, Inc. </v>
      </c>
      <c r="F836" t="str">
        <f>("Cisco Press, ")</f>
        <v xml:space="preserve">Cisco Press, </v>
      </c>
      <c r="G836" t="str">
        <f>("3rd ed. ")</f>
        <v xml:space="preserve">3rd ed. </v>
      </c>
      <c r="H836" t="str">
        <f t="shared" si="335"/>
        <v>圖書 book</v>
      </c>
      <c r="I836" t="str">
        <f>("TK5105.5 I61 2001")</f>
        <v>TK5105.5 I61 2001</v>
      </c>
      <c r="J836" t="str">
        <f>("1587050013")</f>
        <v>1587050013</v>
      </c>
      <c r="K836" t="str">
        <f>("1400")</f>
        <v>1400</v>
      </c>
      <c r="L836" t="str">
        <f t="shared" si="324"/>
        <v>2001/10/10 00:00:00</v>
      </c>
      <c r="M836" t="str">
        <f t="shared" si="343"/>
        <v>2018/08/11 13:34:56</v>
      </c>
      <c r="N836" t="str">
        <f>("2001")</f>
        <v>2001</v>
      </c>
      <c r="O836" t="str">
        <f t="shared" si="336"/>
        <v>4F西文書庫 4F Western Language Books</v>
      </c>
      <c r="P836" t="s">
        <v>64</v>
      </c>
      <c r="W836" t="str">
        <f t="shared" si="339"/>
        <v>美國國會圖書分類法</v>
      </c>
      <c r="Y836" t="str">
        <f>("TK5105.5")</f>
        <v>TK5105.5</v>
      </c>
      <c r="Z836" t="str">
        <f t="shared" si="344"/>
        <v>2018/08/11 13:34:56</v>
      </c>
      <c r="AA836" t="str">
        <f t="shared" si="321"/>
        <v>catc</v>
      </c>
      <c r="AC836" t="str">
        <f>("I61")</f>
        <v>I61</v>
      </c>
      <c r="AE836" t="str">
        <f t="shared" si="332"/>
        <v>c.1</v>
      </c>
      <c r="AF836" t="str">
        <f t="shared" si="337"/>
        <v>1.可借圖書</v>
      </c>
      <c r="AG836" t="str">
        <f t="shared" si="338"/>
        <v>在架</v>
      </c>
      <c r="AI836" t="s">
        <v>65</v>
      </c>
      <c r="AK836" t="str">
        <f t="shared" si="322"/>
        <v>一般(Normal)</v>
      </c>
      <c r="AO836" t="s">
        <v>65</v>
      </c>
      <c r="AS836" t="str">
        <f>("c2001. ")</f>
        <v xml:space="preserve">c2001. </v>
      </c>
      <c r="AT836" t="str">
        <f t="shared" si="323"/>
        <v>catc</v>
      </c>
    </row>
    <row r="837" spans="1:46" x14ac:dyDescent="0.25">
      <c r="A837">
        <v>826</v>
      </c>
      <c r="B837" t="str">
        <f>("289658")</f>
        <v>289658</v>
      </c>
      <c r="C837" t="str">
        <f>("W00002862")</f>
        <v>W00002862</v>
      </c>
      <c r="D837" t="str">
        <f>("IP routing primer / ")</f>
        <v xml:space="preserve">IP routing primer / </v>
      </c>
      <c r="E837" t="str">
        <f>("Wright, Robert. ")</f>
        <v xml:space="preserve">Wright, Robert. </v>
      </c>
      <c r="F837" t="str">
        <f>("Macmillan Technical Pub., ")</f>
        <v xml:space="preserve">Macmillan Technical Pub., </v>
      </c>
      <c r="H837" t="str">
        <f t="shared" si="335"/>
        <v>圖書 book</v>
      </c>
      <c r="I837" t="str">
        <f>("TK5105.585 W947 1998")</f>
        <v>TK5105.585 W947 1998</v>
      </c>
      <c r="J837" t="str">
        <f>("1578701082")</f>
        <v>1578701082</v>
      </c>
      <c r="K837" t="str">
        <f>("1120")</f>
        <v>1120</v>
      </c>
      <c r="L837" t="str">
        <f t="shared" si="324"/>
        <v>2001/10/10 00:00:00</v>
      </c>
      <c r="M837" t="str">
        <f t="shared" si="343"/>
        <v>2018/08/11 13:34:56</v>
      </c>
      <c r="N837" t="str">
        <f>("1998")</f>
        <v>1998</v>
      </c>
      <c r="O837" t="str">
        <f t="shared" si="336"/>
        <v>4F西文書庫 4F Western Language Books</v>
      </c>
      <c r="P837" t="s">
        <v>64</v>
      </c>
      <c r="W837" t="str">
        <f t="shared" si="339"/>
        <v>美國國會圖書分類法</v>
      </c>
      <c r="Y837" t="str">
        <f>("TK5105.585")</f>
        <v>TK5105.585</v>
      </c>
      <c r="Z837" t="str">
        <f t="shared" si="344"/>
        <v>2018/08/11 13:34:56</v>
      </c>
      <c r="AA837" t="str">
        <f t="shared" si="321"/>
        <v>catc</v>
      </c>
      <c r="AC837" t="str">
        <f>("W947")</f>
        <v>W947</v>
      </c>
      <c r="AE837" t="str">
        <f t="shared" si="332"/>
        <v>c.1</v>
      </c>
      <c r="AF837" t="str">
        <f t="shared" si="337"/>
        <v>1.可借圖書</v>
      </c>
      <c r="AG837" t="str">
        <f t="shared" si="338"/>
        <v>在架</v>
      </c>
      <c r="AI837" t="s">
        <v>65</v>
      </c>
      <c r="AK837" t="str">
        <f t="shared" si="322"/>
        <v>一般(Normal)</v>
      </c>
      <c r="AO837" t="s">
        <v>65</v>
      </c>
      <c r="AS837" t="str">
        <f>("c1998. ")</f>
        <v xml:space="preserve">c1998. </v>
      </c>
      <c r="AT837" t="str">
        <f t="shared" si="323"/>
        <v>catc</v>
      </c>
    </row>
    <row r="838" spans="1:46" x14ac:dyDescent="0.25">
      <c r="A838">
        <v>827</v>
      </c>
      <c r="B838" t="str">
        <f>("289659")</f>
        <v>289659</v>
      </c>
      <c r="C838" t="str">
        <f>("W00002863")</f>
        <v>W00002863</v>
      </c>
      <c r="D838" t="str">
        <f>("CORBA security : an introduction to safe computing with objects / ")</f>
        <v xml:space="preserve">CORBA security : an introduction to safe computing with objects / </v>
      </c>
      <c r="E838" t="str">
        <f>("Blakley, Bob, 1960- ")</f>
        <v xml:space="preserve">Blakley, Bob, 1960- </v>
      </c>
      <c r="F838" t="str">
        <f>("Addison-Wesley, ")</f>
        <v xml:space="preserve">Addison-Wesley, </v>
      </c>
      <c r="H838" t="str">
        <f t="shared" si="335"/>
        <v>圖書 book</v>
      </c>
      <c r="I838" t="str">
        <f>("QA76.9.A25 B636 2000")</f>
        <v>QA76.9.A25 B636 2000</v>
      </c>
      <c r="J838" t="str">
        <f>("0201325659")</f>
        <v>0201325659</v>
      </c>
      <c r="K838" t="str">
        <f>("840")</f>
        <v>840</v>
      </c>
      <c r="L838" t="str">
        <f t="shared" si="324"/>
        <v>2001/10/10 00:00:00</v>
      </c>
      <c r="M838" t="str">
        <f t="shared" si="343"/>
        <v>2018/08/11 13:34:56</v>
      </c>
      <c r="N838" t="str">
        <f>("2000")</f>
        <v>2000</v>
      </c>
      <c r="O838" t="str">
        <f t="shared" si="336"/>
        <v>4F西文書庫 4F Western Language Books</v>
      </c>
      <c r="P838" t="s">
        <v>64</v>
      </c>
      <c r="W838" t="str">
        <f t="shared" si="339"/>
        <v>美國國會圖書分類法</v>
      </c>
      <c r="Y838" t="str">
        <f>("QA76.9.A25")</f>
        <v>QA76.9.A25</v>
      </c>
      <c r="Z838" t="str">
        <f t="shared" si="344"/>
        <v>2018/08/11 13:34:56</v>
      </c>
      <c r="AA838" t="str">
        <f t="shared" si="321"/>
        <v>catc</v>
      </c>
      <c r="AC838" t="str">
        <f>("B636")</f>
        <v>B636</v>
      </c>
      <c r="AE838" t="str">
        <f t="shared" si="332"/>
        <v>c.1</v>
      </c>
      <c r="AF838" t="str">
        <f t="shared" si="337"/>
        <v>1.可借圖書</v>
      </c>
      <c r="AG838" t="str">
        <f t="shared" si="338"/>
        <v>在架</v>
      </c>
      <c r="AI838" t="s">
        <v>65</v>
      </c>
      <c r="AK838" t="str">
        <f t="shared" si="322"/>
        <v>一般(Normal)</v>
      </c>
      <c r="AO838" t="s">
        <v>65</v>
      </c>
      <c r="AS838" t="str">
        <f>("c2000. ")</f>
        <v xml:space="preserve">c2000. </v>
      </c>
      <c r="AT838" t="str">
        <f t="shared" si="323"/>
        <v>catc</v>
      </c>
    </row>
    <row r="839" spans="1:46" x14ac:dyDescent="0.25">
      <c r="A839">
        <v>828</v>
      </c>
      <c r="B839" t="str">
        <f>("289660")</f>
        <v>289660</v>
      </c>
      <c r="C839" t="str">
        <f>("W00002864")</f>
        <v>W00002864</v>
      </c>
      <c r="D839" t="str">
        <f>("Concurrent programming in Java design principles and patterns / ")</f>
        <v xml:space="preserve">Concurrent programming in Java design principles and patterns / </v>
      </c>
      <c r="E839" t="str">
        <f>("Lea, Douglas. ")</f>
        <v xml:space="preserve">Lea, Douglas. </v>
      </c>
      <c r="F839" t="str">
        <f>("Addison-Wesley, ")</f>
        <v xml:space="preserve">Addison-Wesley, </v>
      </c>
      <c r="G839" t="str">
        <f>("2nd ed. ")</f>
        <v xml:space="preserve">2nd ed. </v>
      </c>
      <c r="H839" t="str">
        <f t="shared" si="335"/>
        <v>圖書 book</v>
      </c>
      <c r="I839" t="str">
        <f>("QA76.73.J38 L434 2000")</f>
        <v>QA76.73.J38 L434 2000</v>
      </c>
      <c r="J839" t="str">
        <f>("020131009")</f>
        <v>020131009</v>
      </c>
      <c r="K839" t="str">
        <f>("1400")</f>
        <v>1400</v>
      </c>
      <c r="L839" t="str">
        <f t="shared" si="324"/>
        <v>2001/10/10 00:00:00</v>
      </c>
      <c r="M839" t="str">
        <f t="shared" si="343"/>
        <v>2018/08/11 13:34:56</v>
      </c>
      <c r="N839" t="str">
        <f>("2000")</f>
        <v>2000</v>
      </c>
      <c r="O839" t="str">
        <f t="shared" si="336"/>
        <v>4F西文書庫 4F Western Language Books</v>
      </c>
      <c r="P839" t="s">
        <v>64</v>
      </c>
      <c r="W839" t="str">
        <f t="shared" si="339"/>
        <v>美國國會圖書分類法</v>
      </c>
      <c r="Y839" t="str">
        <f>("QA76.73.J38")</f>
        <v>QA76.73.J38</v>
      </c>
      <c r="Z839" t="str">
        <f t="shared" si="344"/>
        <v>2018/08/11 13:34:56</v>
      </c>
      <c r="AA839" t="str">
        <f t="shared" si="321"/>
        <v>catc</v>
      </c>
      <c r="AC839" t="str">
        <f>("L434")</f>
        <v>L434</v>
      </c>
      <c r="AE839" t="str">
        <f t="shared" si="332"/>
        <v>c.1</v>
      </c>
      <c r="AF839" t="str">
        <f t="shared" si="337"/>
        <v>1.可借圖書</v>
      </c>
      <c r="AG839" t="str">
        <f t="shared" si="338"/>
        <v>在架</v>
      </c>
      <c r="AI839" t="s">
        <v>65</v>
      </c>
      <c r="AK839" t="str">
        <f t="shared" si="322"/>
        <v>一般(Normal)</v>
      </c>
      <c r="AO839" t="s">
        <v>65</v>
      </c>
      <c r="AS839" t="str">
        <f>("c2000. ")</f>
        <v xml:space="preserve">c2000. </v>
      </c>
      <c r="AT839" t="str">
        <f t="shared" si="323"/>
        <v>catc</v>
      </c>
    </row>
    <row r="840" spans="1:46" x14ac:dyDescent="0.25">
      <c r="A840">
        <v>829</v>
      </c>
      <c r="B840" t="str">
        <f>("289666")</f>
        <v>289666</v>
      </c>
      <c r="C840" t="str">
        <f>("W00002865")</f>
        <v>W00002865</v>
      </c>
      <c r="D840" t="str">
        <f>("3D modeling in AutoCAD : mastering 3D design and drafting with AutoCAD release 14 / ")</f>
        <v xml:space="preserve">3D modeling in AutoCAD : mastering 3D design and drafting with AutoCAD release 14 / </v>
      </c>
      <c r="E840" t="str">
        <f>("Wilson, John,  1933- ")</f>
        <v xml:space="preserve">Wilson, John,  1933- </v>
      </c>
      <c r="F840" t="str">
        <f>("Miller Freeman Books, ")</f>
        <v xml:space="preserve">Miller Freeman Books, </v>
      </c>
      <c r="H840" t="str">
        <f t="shared" si="335"/>
        <v>圖書 book</v>
      </c>
      <c r="I840" t="str">
        <f>("T385 W747 1999")</f>
        <v>T385 W747 1999</v>
      </c>
      <c r="J840" t="str">
        <f>("0879305517")</f>
        <v>0879305517</v>
      </c>
      <c r="K840" t="str">
        <f>("1400")</f>
        <v>1400</v>
      </c>
      <c r="L840" t="str">
        <f t="shared" si="324"/>
        <v>2001/10/10 00:00:00</v>
      </c>
      <c r="M840" t="str">
        <f t="shared" si="343"/>
        <v>2018/08/11 13:34:56</v>
      </c>
      <c r="N840" t="str">
        <f>("1999")</f>
        <v>1999</v>
      </c>
      <c r="O840" t="str">
        <f t="shared" si="336"/>
        <v>4F西文書庫 4F Western Language Books</v>
      </c>
      <c r="P840" t="s">
        <v>64</v>
      </c>
      <c r="Q840" t="str">
        <f>("一張光碟片")</f>
        <v>一張光碟片</v>
      </c>
      <c r="W840" t="str">
        <f t="shared" si="339"/>
        <v>美國國會圖書分類法</v>
      </c>
      <c r="Y840" t="str">
        <f>("T385")</f>
        <v>T385</v>
      </c>
      <c r="Z840" t="str">
        <f t="shared" si="344"/>
        <v>2018/08/11 13:34:56</v>
      </c>
      <c r="AA840" t="str">
        <f t="shared" si="321"/>
        <v>catc</v>
      </c>
      <c r="AC840" t="str">
        <f>("W747")</f>
        <v>W747</v>
      </c>
      <c r="AE840" t="str">
        <f t="shared" ref="AE840:AE874" si="345">("c.1")</f>
        <v>c.1</v>
      </c>
      <c r="AF840" t="str">
        <f t="shared" si="337"/>
        <v>1.可借圖書</v>
      </c>
      <c r="AG840" t="str">
        <f t="shared" si="338"/>
        <v>在架</v>
      </c>
      <c r="AI840" t="s">
        <v>65</v>
      </c>
      <c r="AK840" t="str">
        <f t="shared" si="322"/>
        <v>一般(Normal)</v>
      </c>
      <c r="AO840" t="s">
        <v>65</v>
      </c>
      <c r="AS840" t="str">
        <f>("c1998. ")</f>
        <v xml:space="preserve">c1998. </v>
      </c>
      <c r="AT840" t="str">
        <f t="shared" si="323"/>
        <v>catc</v>
      </c>
    </row>
    <row r="841" spans="1:46" x14ac:dyDescent="0.25">
      <c r="A841">
        <v>830</v>
      </c>
      <c r="B841" t="str">
        <f>("289667")</f>
        <v>289667</v>
      </c>
      <c r="C841" t="str">
        <f>("W00002866")</f>
        <v>W00002866</v>
      </c>
      <c r="D841" t="str">
        <f>("Computer telephony encyclopedia /")</f>
        <v>Computer telephony encyclopedia /</v>
      </c>
      <c r="E841" t="str">
        <f>("Grigonis, Richard. ")</f>
        <v xml:space="preserve">Grigonis, Richard. </v>
      </c>
      <c r="F841" t="str">
        <f>("CMP Books ;;Distributed to the book trade in the U.S. and Canada by Publishers Group West,")</f>
        <v>CMP Books ;;Distributed to the book trade in the U.S. and Canada by Publishers Group West,</v>
      </c>
      <c r="H841" t="str">
        <f t="shared" si="335"/>
        <v>圖書 book</v>
      </c>
      <c r="I841" t="str">
        <f>("TK5102 G857 2000")</f>
        <v>TK5102 G857 2000</v>
      </c>
      <c r="J841" t="str">
        <f>("1578200458")</f>
        <v>1578200458</v>
      </c>
      <c r="K841" t="str">
        <f>("1120")</f>
        <v>1120</v>
      </c>
      <c r="L841" t="str">
        <f t="shared" si="324"/>
        <v>2001/10/10 00:00:00</v>
      </c>
      <c r="M841" t="str">
        <f t="shared" si="343"/>
        <v>2018/08/11 13:34:56</v>
      </c>
      <c r="N841" t="str">
        <f>("2000")</f>
        <v>2000</v>
      </c>
      <c r="O841" t="str">
        <f t="shared" si="336"/>
        <v>4F西文書庫 4F Western Language Books</v>
      </c>
      <c r="P841" t="s">
        <v>64</v>
      </c>
      <c r="W841" t="str">
        <f t="shared" si="339"/>
        <v>美國國會圖書分類法</v>
      </c>
      <c r="Y841" t="str">
        <f>("TK5102")</f>
        <v>TK5102</v>
      </c>
      <c r="Z841" t="str">
        <f t="shared" si="344"/>
        <v>2018/08/11 13:34:56</v>
      </c>
      <c r="AA841" t="str">
        <f t="shared" si="321"/>
        <v>catc</v>
      </c>
      <c r="AC841" t="str">
        <f>("G857")</f>
        <v>G857</v>
      </c>
      <c r="AE841" t="str">
        <f t="shared" si="345"/>
        <v>c.1</v>
      </c>
      <c r="AF841" t="str">
        <f t="shared" si="337"/>
        <v>1.可借圖書</v>
      </c>
      <c r="AG841" t="str">
        <f t="shared" si="338"/>
        <v>在架</v>
      </c>
      <c r="AI841" t="s">
        <v>65</v>
      </c>
      <c r="AK841" t="str">
        <f t="shared" si="322"/>
        <v>一般(Normal)</v>
      </c>
      <c r="AO841" t="s">
        <v>65</v>
      </c>
      <c r="AS841" t="str">
        <f>("c2000. ")</f>
        <v xml:space="preserve">c2000. </v>
      </c>
      <c r="AT841" t="str">
        <f t="shared" si="323"/>
        <v>catc</v>
      </c>
    </row>
    <row r="842" spans="1:46" x14ac:dyDescent="0.25">
      <c r="A842">
        <v>831</v>
      </c>
      <c r="B842" t="str">
        <f>("289668")</f>
        <v>289668</v>
      </c>
      <c r="C842" t="str">
        <f>("W00002867")</f>
        <v>W00002867</v>
      </c>
      <c r="D842" t="str">
        <f>("Killer content : strategies for Web content and E-commerce / ")</f>
        <v xml:space="preserve">Killer content : strategies for Web content and E-commerce / </v>
      </c>
      <c r="E842" t="str">
        <f>("Tomsen, Mai-lan. ")</f>
        <v xml:space="preserve">Tomsen, Mai-lan. </v>
      </c>
      <c r="F842" t="str">
        <f>("Addison-Wesley, ")</f>
        <v xml:space="preserve">Addison-Wesley, </v>
      </c>
      <c r="H842" t="str">
        <f t="shared" si="335"/>
        <v>圖書 book</v>
      </c>
      <c r="I842" t="str">
        <f>("HF5548.32 T655 2000")</f>
        <v>HF5548.32 T655 2000</v>
      </c>
      <c r="J842" t="str">
        <f>("0201657864")</f>
        <v>0201657864</v>
      </c>
      <c r="K842" t="str">
        <f>("984")</f>
        <v>984</v>
      </c>
      <c r="L842" t="str">
        <f t="shared" si="324"/>
        <v>2001/10/10 00:00:00</v>
      </c>
      <c r="M842" t="str">
        <f t="shared" si="343"/>
        <v>2018/08/11 13:34:56</v>
      </c>
      <c r="N842" t="str">
        <f>("2000")</f>
        <v>2000</v>
      </c>
      <c r="O842" t="str">
        <f t="shared" si="336"/>
        <v>4F西文書庫 4F Western Language Books</v>
      </c>
      <c r="P842" t="s">
        <v>64</v>
      </c>
      <c r="W842" t="str">
        <f t="shared" si="339"/>
        <v>美國國會圖書分類法</v>
      </c>
      <c r="Y842" t="str">
        <f>("HF5548.32")</f>
        <v>HF5548.32</v>
      </c>
      <c r="Z842" t="str">
        <f t="shared" si="344"/>
        <v>2018/08/11 13:34:56</v>
      </c>
      <c r="AA842" t="str">
        <f t="shared" si="321"/>
        <v>catc</v>
      </c>
      <c r="AC842" t="str">
        <f>("T655")</f>
        <v>T655</v>
      </c>
      <c r="AE842" t="str">
        <f t="shared" si="345"/>
        <v>c.1</v>
      </c>
      <c r="AF842" t="str">
        <f t="shared" si="337"/>
        <v>1.可借圖書</v>
      </c>
      <c r="AG842" t="str">
        <f t="shared" si="338"/>
        <v>在架</v>
      </c>
      <c r="AI842" t="s">
        <v>65</v>
      </c>
      <c r="AK842" t="str">
        <f t="shared" si="322"/>
        <v>一般(Normal)</v>
      </c>
      <c r="AO842" t="s">
        <v>65</v>
      </c>
      <c r="AS842" t="str">
        <f>("c2000. ")</f>
        <v xml:space="preserve">c2000. </v>
      </c>
      <c r="AT842" t="str">
        <f t="shared" si="323"/>
        <v>catc</v>
      </c>
    </row>
    <row r="843" spans="1:46" x14ac:dyDescent="0.25">
      <c r="A843">
        <v>832</v>
      </c>
      <c r="B843" t="str">
        <f>("289669")</f>
        <v>289669</v>
      </c>
      <c r="C843" t="str">
        <f>("W00002868")</f>
        <v>W00002868</v>
      </c>
      <c r="D843" t="str">
        <f>("AutoCAD VBA programming : tools and techniques / ")</f>
        <v xml:space="preserve">AutoCAD VBA programming : tools and techniques / </v>
      </c>
      <c r="E843" t="str">
        <f>("Gibb, John W. ")</f>
        <v xml:space="preserve">Gibb, John W. </v>
      </c>
      <c r="F843" t="str">
        <f>("Miller Freeman Books, ")</f>
        <v xml:space="preserve">Miller Freeman Books, </v>
      </c>
      <c r="H843" t="str">
        <f t="shared" si="335"/>
        <v>圖書 book</v>
      </c>
      <c r="I843" t="str">
        <f>("T385 G438 1999")</f>
        <v>T385 G438 1999</v>
      </c>
      <c r="J843" t="str">
        <f>("0879305746")</f>
        <v>0879305746</v>
      </c>
      <c r="K843" t="str">
        <f>("1120")</f>
        <v>1120</v>
      </c>
      <c r="L843" t="str">
        <f t="shared" si="324"/>
        <v>2001/10/10 00:00:00</v>
      </c>
      <c r="M843" t="str">
        <f t="shared" ref="M843:M851" si="346">("2018/08/11 13:34:57")</f>
        <v>2018/08/11 13:34:57</v>
      </c>
      <c r="N843" t="str">
        <f>("1999")</f>
        <v>1999</v>
      </c>
      <c r="O843" t="str">
        <f t="shared" si="336"/>
        <v>4F西文書庫 4F Western Language Books</v>
      </c>
      <c r="P843" t="s">
        <v>64</v>
      </c>
      <c r="W843" t="str">
        <f t="shared" si="339"/>
        <v>美國國會圖書分類法</v>
      </c>
      <c r="Y843" t="str">
        <f>("T385")</f>
        <v>T385</v>
      </c>
      <c r="Z843" t="str">
        <f t="shared" si="344"/>
        <v>2018/08/11 13:34:56</v>
      </c>
      <c r="AA843" t="str">
        <f t="shared" si="321"/>
        <v>catc</v>
      </c>
      <c r="AC843" t="str">
        <f>("G438")</f>
        <v>G438</v>
      </c>
      <c r="AE843" t="str">
        <f t="shared" si="345"/>
        <v>c.1</v>
      </c>
      <c r="AF843" t="str">
        <f t="shared" si="337"/>
        <v>1.可借圖書</v>
      </c>
      <c r="AG843" t="str">
        <f t="shared" si="338"/>
        <v>在架</v>
      </c>
      <c r="AI843" t="s">
        <v>65</v>
      </c>
      <c r="AK843" t="str">
        <f t="shared" si="322"/>
        <v>一般(Normal)</v>
      </c>
      <c r="AO843" t="s">
        <v>65</v>
      </c>
      <c r="AS843" t="str">
        <f>("1999. ")</f>
        <v xml:space="preserve">1999. </v>
      </c>
      <c r="AT843" t="str">
        <f t="shared" si="323"/>
        <v>catc</v>
      </c>
    </row>
    <row r="844" spans="1:46" x14ac:dyDescent="0.25">
      <c r="A844">
        <v>833</v>
      </c>
      <c r="B844" t="str">
        <f>("289681")</f>
        <v>289681</v>
      </c>
      <c r="C844" t="str">
        <f>("W00002869")</f>
        <v>W00002869</v>
      </c>
      <c r="D844" t="str">
        <f>("IP quality of service / ")</f>
        <v xml:space="preserve">IP quality of service / </v>
      </c>
      <c r="E844" t="str">
        <f>("Vegesna, Srinivas. ")</f>
        <v xml:space="preserve">Vegesna, Srinivas. </v>
      </c>
      <c r="F844" t="str">
        <f>("Cisco Press, ")</f>
        <v xml:space="preserve">Cisco Press, </v>
      </c>
      <c r="H844" t="str">
        <f t="shared" si="335"/>
        <v>圖書 book</v>
      </c>
      <c r="I844" t="str">
        <f>("TK5105.8885 V422 2001")</f>
        <v>TK5105.8885 V422 2001</v>
      </c>
      <c r="J844" t="str">
        <f>("1578701163")</f>
        <v>1578701163</v>
      </c>
      <c r="K844" t="str">
        <f>("1498")</f>
        <v>1498</v>
      </c>
      <c r="L844" t="str">
        <f t="shared" si="324"/>
        <v>2001/10/10 00:00:00</v>
      </c>
      <c r="M844" t="str">
        <f t="shared" si="346"/>
        <v>2018/08/11 13:34:57</v>
      </c>
      <c r="N844" t="str">
        <f>("2001")</f>
        <v>2001</v>
      </c>
      <c r="O844" t="str">
        <f t="shared" si="336"/>
        <v>4F西文書庫 4F Western Language Books</v>
      </c>
      <c r="P844" t="s">
        <v>64</v>
      </c>
      <c r="W844" t="str">
        <f t="shared" si="339"/>
        <v>美國國會圖書分類法</v>
      </c>
      <c r="Y844" t="str">
        <f>("TK5105.8885")</f>
        <v>TK5105.8885</v>
      </c>
      <c r="Z844" t="str">
        <f t="shared" ref="Z844:Z851" si="347">("2018/08/11 13:34:57")</f>
        <v>2018/08/11 13:34:57</v>
      </c>
      <c r="AA844" t="str">
        <f t="shared" ref="AA844:AA907" si="348">("catc")</f>
        <v>catc</v>
      </c>
      <c r="AC844" t="str">
        <f>("V422")</f>
        <v>V422</v>
      </c>
      <c r="AE844" t="str">
        <f t="shared" si="345"/>
        <v>c.1</v>
      </c>
      <c r="AF844" t="str">
        <f t="shared" si="337"/>
        <v>1.可借圖書</v>
      </c>
      <c r="AG844" t="str">
        <f t="shared" si="338"/>
        <v>在架</v>
      </c>
      <c r="AI844" t="s">
        <v>65</v>
      </c>
      <c r="AK844" t="str">
        <f t="shared" ref="AK844:AK907" si="349">("一般(Normal)")</f>
        <v>一般(Normal)</v>
      </c>
      <c r="AO844" t="s">
        <v>65</v>
      </c>
      <c r="AS844" t="str">
        <f>("c2001. ")</f>
        <v xml:space="preserve">c2001. </v>
      </c>
      <c r="AT844" t="str">
        <f t="shared" ref="AT844:AT907" si="350">("catc")</f>
        <v>catc</v>
      </c>
    </row>
    <row r="845" spans="1:46" x14ac:dyDescent="0.25">
      <c r="A845">
        <v>834</v>
      </c>
      <c r="B845" t="str">
        <f>("289682")</f>
        <v>289682</v>
      </c>
      <c r="C845" t="str">
        <f>("W00002870")</f>
        <v>W00002870</v>
      </c>
      <c r="D845" t="str">
        <f>("IP routing fundamentals / ")</f>
        <v xml:space="preserve">IP routing fundamentals / </v>
      </c>
      <c r="E845" t="str">
        <f>("Sportack, Mark A. ")</f>
        <v xml:space="preserve">Sportack, Mark A. </v>
      </c>
      <c r="F845" t="str">
        <f>("Cisco Systems/Cisco Press, ")</f>
        <v xml:space="preserve">Cisco Systems/Cisco Press, </v>
      </c>
      <c r="H845" t="str">
        <f t="shared" si="335"/>
        <v>圖書 book</v>
      </c>
      <c r="I845" t="str">
        <f>("TK5105.585 S732 1999")</f>
        <v>TK5105.585 S732 1999</v>
      </c>
      <c r="J845" t="str">
        <f>("157870071X")</f>
        <v>157870071X</v>
      </c>
      <c r="K845" t="str">
        <f>("1120")</f>
        <v>1120</v>
      </c>
      <c r="L845" t="str">
        <f t="shared" si="324"/>
        <v>2001/10/10 00:00:00</v>
      </c>
      <c r="M845" t="str">
        <f t="shared" si="346"/>
        <v>2018/08/11 13:34:57</v>
      </c>
      <c r="N845" t="str">
        <f>("1999")</f>
        <v>1999</v>
      </c>
      <c r="O845" t="str">
        <f t="shared" si="336"/>
        <v>4F西文書庫 4F Western Language Books</v>
      </c>
      <c r="P845" t="s">
        <v>64</v>
      </c>
      <c r="W845" t="str">
        <f t="shared" si="339"/>
        <v>美國國會圖書分類法</v>
      </c>
      <c r="Y845" t="str">
        <f>("TK5105.585")</f>
        <v>TK5105.585</v>
      </c>
      <c r="Z845" t="str">
        <f t="shared" si="347"/>
        <v>2018/08/11 13:34:57</v>
      </c>
      <c r="AA845" t="str">
        <f t="shared" si="348"/>
        <v>catc</v>
      </c>
      <c r="AC845" t="str">
        <f>("S732")</f>
        <v>S732</v>
      </c>
      <c r="AE845" t="str">
        <f t="shared" si="345"/>
        <v>c.1</v>
      </c>
      <c r="AF845" t="str">
        <f t="shared" si="337"/>
        <v>1.可借圖書</v>
      </c>
      <c r="AG845" t="str">
        <f t="shared" si="338"/>
        <v>在架</v>
      </c>
      <c r="AI845" t="s">
        <v>65</v>
      </c>
      <c r="AK845" t="str">
        <f t="shared" si="349"/>
        <v>一般(Normal)</v>
      </c>
      <c r="AO845" t="s">
        <v>65</v>
      </c>
      <c r="AS845" t="str">
        <f>("c1999. ")</f>
        <v xml:space="preserve">c1999. </v>
      </c>
      <c r="AT845" t="str">
        <f t="shared" si="350"/>
        <v>catc</v>
      </c>
    </row>
    <row r="846" spans="1:46" x14ac:dyDescent="0.25">
      <c r="A846">
        <v>835</v>
      </c>
      <c r="B846" t="str">
        <f>("289683")</f>
        <v>289683</v>
      </c>
      <c r="C846" t="str">
        <f>("W00002871")</f>
        <v>W00002871</v>
      </c>
      <c r="D846" t="str">
        <f>("Internetworking troubleshooting handbook / ")</f>
        <v xml:space="preserve">Internetworking troubleshooting handbook / </v>
      </c>
      <c r="E846" t="str">
        <f>("Cisco Systems, Inc. ")</f>
        <v xml:space="preserve">Cisco Systems, Inc. </v>
      </c>
      <c r="F846" t="str">
        <f>("Cisco Press, ")</f>
        <v xml:space="preserve">Cisco Press, </v>
      </c>
      <c r="G846" t="str">
        <f>("2nd ed. ")</f>
        <v xml:space="preserve">2nd ed. </v>
      </c>
      <c r="H846" t="str">
        <f t="shared" ref="H846:H877" si="351">("圖書 book")</f>
        <v>圖書 book</v>
      </c>
      <c r="I846" t="str">
        <f>("TK5105.5 I61-2 2001")</f>
        <v>TK5105.5 I61-2 2001</v>
      </c>
      <c r="J846" t="str">
        <f>("1587050056")</f>
        <v>1587050056</v>
      </c>
      <c r="K846" t="str">
        <f>("1400")</f>
        <v>1400</v>
      </c>
      <c r="L846" t="str">
        <f t="shared" si="324"/>
        <v>2001/10/10 00:00:00</v>
      </c>
      <c r="M846" t="str">
        <f t="shared" si="346"/>
        <v>2018/08/11 13:34:57</v>
      </c>
      <c r="N846" t="str">
        <f>("2001")</f>
        <v>2001</v>
      </c>
      <c r="O846" t="str">
        <f t="shared" ref="O846:O874" si="352">("4F西文書庫 4F Western Language Books")</f>
        <v>4F西文書庫 4F Western Language Books</v>
      </c>
      <c r="P846" t="s">
        <v>64</v>
      </c>
      <c r="W846" t="str">
        <f t="shared" si="339"/>
        <v>美國國會圖書分類法</v>
      </c>
      <c r="Y846" t="str">
        <f>("TK5105.5")</f>
        <v>TK5105.5</v>
      </c>
      <c r="Z846" t="str">
        <f t="shared" si="347"/>
        <v>2018/08/11 13:34:57</v>
      </c>
      <c r="AA846" t="str">
        <f t="shared" si="348"/>
        <v>catc</v>
      </c>
      <c r="AC846" t="str">
        <f>("I61-2")</f>
        <v>I61-2</v>
      </c>
      <c r="AE846" t="str">
        <f t="shared" si="345"/>
        <v>c.1</v>
      </c>
      <c r="AF846" t="str">
        <f t="shared" ref="AF846:AF874" si="353">("1.可借圖書")</f>
        <v>1.可借圖書</v>
      </c>
      <c r="AG846" t="str">
        <f t="shared" ref="AG846:AG874" si="354">("在架")</f>
        <v>在架</v>
      </c>
      <c r="AI846" t="s">
        <v>65</v>
      </c>
      <c r="AK846" t="str">
        <f t="shared" si="349"/>
        <v>一般(Normal)</v>
      </c>
      <c r="AO846" t="s">
        <v>65</v>
      </c>
      <c r="AS846" t="str">
        <f>("c2001. ")</f>
        <v xml:space="preserve">c2001. </v>
      </c>
      <c r="AT846" t="str">
        <f t="shared" si="350"/>
        <v>catc</v>
      </c>
    </row>
    <row r="847" spans="1:46" x14ac:dyDescent="0.25">
      <c r="A847">
        <v>836</v>
      </c>
      <c r="B847" t="str">
        <f>("289684")</f>
        <v>289684</v>
      </c>
      <c r="C847" t="str">
        <f>("W00002872")</f>
        <v>W00002872</v>
      </c>
      <c r="D847" t="str">
        <f>("IT architectures and middleware : strategies for building large, integrated systems / ")</f>
        <v xml:space="preserve">IT architectures and middleware : strategies for building large, integrated systems / </v>
      </c>
      <c r="E847" t="str">
        <f>("Britton, Chris. ")</f>
        <v xml:space="preserve">Britton, Chris. </v>
      </c>
      <c r="F847" t="str">
        <f>("Addison-Wesley, ")</f>
        <v xml:space="preserve">Addison-Wesley, </v>
      </c>
      <c r="H847" t="str">
        <f t="shared" si="351"/>
        <v>圖書 book</v>
      </c>
      <c r="I847" t="str">
        <f>("QA76.9.A73 B862 2001")</f>
        <v>QA76.9.A73 B862 2001</v>
      </c>
      <c r="J847" t="str">
        <f>("0201709074")</f>
        <v>0201709074</v>
      </c>
      <c r="K847" t="str">
        <f>("984")</f>
        <v>984</v>
      </c>
      <c r="L847" t="str">
        <f t="shared" si="324"/>
        <v>2001/10/10 00:00:00</v>
      </c>
      <c r="M847" t="str">
        <f t="shared" si="346"/>
        <v>2018/08/11 13:34:57</v>
      </c>
      <c r="N847" t="str">
        <f>("2001")</f>
        <v>2001</v>
      </c>
      <c r="O847" t="str">
        <f t="shared" si="352"/>
        <v>4F西文書庫 4F Western Language Books</v>
      </c>
      <c r="P847" t="s">
        <v>64</v>
      </c>
      <c r="S847" t="str">
        <f>("xxvii, 296 p. : ")</f>
        <v xml:space="preserve">xxvii, 296 p. : </v>
      </c>
      <c r="T847" t="str">
        <f>("ill. ; ")</f>
        <v xml:space="preserve">ill. ; </v>
      </c>
      <c r="U847" t="str">
        <f>("24 cm. ")</f>
        <v xml:space="preserve">24 cm. </v>
      </c>
      <c r="W847" t="str">
        <f t="shared" si="339"/>
        <v>美國國會圖書分類法</v>
      </c>
      <c r="Y847" t="str">
        <f>("QA76.9.A73")</f>
        <v>QA76.9.A73</v>
      </c>
      <c r="Z847" t="str">
        <f t="shared" si="347"/>
        <v>2018/08/11 13:34:57</v>
      </c>
      <c r="AA847" t="str">
        <f t="shared" si="348"/>
        <v>catc</v>
      </c>
      <c r="AC847" t="str">
        <f>("B862")</f>
        <v>B862</v>
      </c>
      <c r="AE847" t="str">
        <f t="shared" si="345"/>
        <v>c.1</v>
      </c>
      <c r="AF847" t="str">
        <f t="shared" si="353"/>
        <v>1.可借圖書</v>
      </c>
      <c r="AG847" t="str">
        <f t="shared" si="354"/>
        <v>在架</v>
      </c>
      <c r="AI847" t="s">
        <v>65</v>
      </c>
      <c r="AK847" t="str">
        <f t="shared" si="349"/>
        <v>一般(Normal)</v>
      </c>
      <c r="AO847" t="s">
        <v>65</v>
      </c>
      <c r="AS847" t="str">
        <f>("2001. ")</f>
        <v xml:space="preserve">2001. </v>
      </c>
      <c r="AT847" t="str">
        <f t="shared" si="350"/>
        <v>catc</v>
      </c>
    </row>
    <row r="848" spans="1:46" x14ac:dyDescent="0.25">
      <c r="A848">
        <v>837</v>
      </c>
      <c r="B848" t="str">
        <f>("289670")</f>
        <v>289670</v>
      </c>
      <c r="C848" t="str">
        <f>("W00002873")</f>
        <v>W00002873</v>
      </c>
      <c r="D848" t="str">
        <f>("Access database design &amp; programming / ")</f>
        <v xml:space="preserve">Access database design &amp; programming / </v>
      </c>
      <c r="E848" t="str">
        <f>("Roman, Steven. ")</f>
        <v xml:space="preserve">Roman, Steven. </v>
      </c>
      <c r="F848" t="str">
        <f>("O'Reilly, ")</f>
        <v xml:space="preserve">O'Reilly, </v>
      </c>
      <c r="G848" t="str">
        <f>("2nd.ed.")</f>
        <v>2nd.ed.</v>
      </c>
      <c r="H848" t="str">
        <f t="shared" si="351"/>
        <v>圖書 book</v>
      </c>
      <c r="I848" t="str">
        <f>("QA76.9.D3 R758 1999")</f>
        <v>QA76.9.D3 R758 1999</v>
      </c>
      <c r="J848" t="str">
        <f>("1565922972")</f>
        <v>1565922972</v>
      </c>
      <c r="K848" t="str">
        <f>("928")</f>
        <v>928</v>
      </c>
      <c r="L848" t="str">
        <f t="shared" si="324"/>
        <v>2001/10/10 00:00:00</v>
      </c>
      <c r="M848" t="str">
        <f t="shared" si="346"/>
        <v>2018/08/11 13:34:57</v>
      </c>
      <c r="N848" t="str">
        <f>("1999")</f>
        <v>1999</v>
      </c>
      <c r="O848" t="str">
        <f t="shared" si="352"/>
        <v>4F西文書庫 4F Western Language Books</v>
      </c>
      <c r="P848" t="s">
        <v>64</v>
      </c>
      <c r="W848" t="str">
        <f t="shared" si="339"/>
        <v>美國國會圖書分類法</v>
      </c>
      <c r="Y848" t="str">
        <f>("QA76.9.D3")</f>
        <v>QA76.9.D3</v>
      </c>
      <c r="Z848" t="str">
        <f t="shared" si="347"/>
        <v>2018/08/11 13:34:57</v>
      </c>
      <c r="AA848" t="str">
        <f t="shared" si="348"/>
        <v>catc</v>
      </c>
      <c r="AC848" t="str">
        <f>("R758")</f>
        <v>R758</v>
      </c>
      <c r="AE848" t="str">
        <f t="shared" si="345"/>
        <v>c.1</v>
      </c>
      <c r="AF848" t="str">
        <f t="shared" si="353"/>
        <v>1.可借圖書</v>
      </c>
      <c r="AG848" t="str">
        <f t="shared" si="354"/>
        <v>在架</v>
      </c>
      <c r="AI848" t="s">
        <v>65</v>
      </c>
      <c r="AK848" t="str">
        <f t="shared" si="349"/>
        <v>一般(Normal)</v>
      </c>
      <c r="AO848" t="s">
        <v>65</v>
      </c>
      <c r="AS848" t="str">
        <f>("1999. ")</f>
        <v xml:space="preserve">1999. </v>
      </c>
      <c r="AT848" t="str">
        <f t="shared" si="350"/>
        <v>catc</v>
      </c>
    </row>
    <row r="849" spans="1:46" x14ac:dyDescent="0.25">
      <c r="A849">
        <v>838</v>
      </c>
      <c r="B849" t="str">
        <f>("289671")</f>
        <v>289671</v>
      </c>
      <c r="C849" t="str">
        <f>("W00002874")</f>
        <v>W00002874</v>
      </c>
      <c r="D849" t="str">
        <f>("Learning Red Hat Linux / ")</f>
        <v xml:space="preserve">Learning Red Hat Linux / </v>
      </c>
      <c r="E849" t="str">
        <f>("McCarty, Bill, 1953- ")</f>
        <v xml:space="preserve">McCarty, Bill, 1953- </v>
      </c>
      <c r="F849" t="str">
        <f>("O'Reilly, ")</f>
        <v xml:space="preserve">O'Reilly, </v>
      </c>
      <c r="G849" t="str">
        <f>("1st ed. ")</f>
        <v xml:space="preserve">1st ed. </v>
      </c>
      <c r="H849" t="str">
        <f t="shared" si="351"/>
        <v>圖書 book</v>
      </c>
      <c r="I849" t="str">
        <f>("QA76.76.O63 M111 1999")</f>
        <v>QA76.76.O63 M111 1999</v>
      </c>
      <c r="J849" t="str">
        <f>("1565926277")</f>
        <v>1565926277</v>
      </c>
      <c r="K849" t="str">
        <f>("984")</f>
        <v>984</v>
      </c>
      <c r="L849" t="str">
        <f t="shared" si="324"/>
        <v>2001/10/10 00:00:00</v>
      </c>
      <c r="M849" t="str">
        <f t="shared" si="346"/>
        <v>2018/08/11 13:34:57</v>
      </c>
      <c r="N849" t="str">
        <f>("1999")</f>
        <v>1999</v>
      </c>
      <c r="O849" t="str">
        <f t="shared" si="352"/>
        <v>4F西文書庫 4F Western Language Books</v>
      </c>
      <c r="P849" t="s">
        <v>64</v>
      </c>
      <c r="W849" t="str">
        <f t="shared" si="339"/>
        <v>美國國會圖書分類法</v>
      </c>
      <c r="Y849" t="str">
        <f>("QA76.76.O63")</f>
        <v>QA76.76.O63</v>
      </c>
      <c r="Z849" t="str">
        <f t="shared" si="347"/>
        <v>2018/08/11 13:34:57</v>
      </c>
      <c r="AA849" t="str">
        <f t="shared" si="348"/>
        <v>catc</v>
      </c>
      <c r="AC849" t="str">
        <f>("M111")</f>
        <v>M111</v>
      </c>
      <c r="AE849" t="str">
        <f t="shared" si="345"/>
        <v>c.1</v>
      </c>
      <c r="AF849" t="str">
        <f t="shared" si="353"/>
        <v>1.可借圖書</v>
      </c>
      <c r="AG849" t="str">
        <f t="shared" si="354"/>
        <v>在架</v>
      </c>
      <c r="AI849" t="s">
        <v>65</v>
      </c>
      <c r="AK849" t="str">
        <f t="shared" si="349"/>
        <v>一般(Normal)</v>
      </c>
      <c r="AO849" t="s">
        <v>65</v>
      </c>
      <c r="AS849" t="str">
        <f>("c1999. ")</f>
        <v xml:space="preserve">c1999. </v>
      </c>
      <c r="AT849" t="str">
        <f t="shared" si="350"/>
        <v>catc</v>
      </c>
    </row>
    <row r="850" spans="1:46" x14ac:dyDescent="0.25">
      <c r="A850">
        <v>839</v>
      </c>
      <c r="B850" t="str">
        <f>("289672")</f>
        <v>289672</v>
      </c>
      <c r="C850" t="str">
        <f>("W00002875")</f>
        <v>W00002875</v>
      </c>
      <c r="D850" t="str">
        <f>("MICO : an open source CORBA implementation / ")</f>
        <v xml:space="preserve">MICO : an open source CORBA implementation / </v>
      </c>
      <c r="E850" t="str">
        <f>("Puder, Arno. ")</f>
        <v xml:space="preserve">Puder, Arno. </v>
      </c>
      <c r="F850" t="str">
        <f>("Morgan Kaufmann Publishers, ")</f>
        <v xml:space="preserve">Morgan Kaufmann Publishers, </v>
      </c>
      <c r="G850" t="str">
        <f>("3rd ed. ")</f>
        <v xml:space="preserve">3rd ed. </v>
      </c>
      <c r="H850" t="str">
        <f t="shared" si="351"/>
        <v>圖書 book</v>
      </c>
      <c r="I850" t="str">
        <f>("QA76.64. P976 2000")</f>
        <v>QA76.64. P976 2000</v>
      </c>
      <c r="J850" t="str">
        <f>("1558606661")</f>
        <v>1558606661</v>
      </c>
      <c r="K850" t="str">
        <f>("1000")</f>
        <v>1000</v>
      </c>
      <c r="L850" t="str">
        <f t="shared" si="324"/>
        <v>2001/10/10 00:00:00</v>
      </c>
      <c r="M850" t="str">
        <f t="shared" si="346"/>
        <v>2018/08/11 13:34:57</v>
      </c>
      <c r="N850" t="str">
        <f>("2000")</f>
        <v>2000</v>
      </c>
      <c r="O850" t="str">
        <f t="shared" si="352"/>
        <v>4F西文書庫 4F Western Language Books</v>
      </c>
      <c r="P850" t="s">
        <v>64</v>
      </c>
      <c r="S850" t="str">
        <f>("xix, 195 p. ; ")</f>
        <v xml:space="preserve">xix, 195 p. ; </v>
      </c>
      <c r="U850" t="str">
        <f>("23 cm. + ")</f>
        <v xml:space="preserve">23 cm. + </v>
      </c>
      <c r="V850" t="str">
        <f>(" 1 computer optical disc (4 3/4 in.) ")</f>
        <v xml:space="preserve"> 1 computer optical disc (4 3/4 in.) </v>
      </c>
      <c r="W850" t="str">
        <f t="shared" si="339"/>
        <v>美國國會圖書分類法</v>
      </c>
      <c r="Y850" t="str">
        <f>("QA76.64.")</f>
        <v>QA76.64.</v>
      </c>
      <c r="Z850" t="str">
        <f t="shared" si="347"/>
        <v>2018/08/11 13:34:57</v>
      </c>
      <c r="AA850" t="str">
        <f t="shared" si="348"/>
        <v>catc</v>
      </c>
      <c r="AC850" t="str">
        <f>("P976")</f>
        <v>P976</v>
      </c>
      <c r="AE850" t="str">
        <f t="shared" si="345"/>
        <v>c.1</v>
      </c>
      <c r="AF850" t="str">
        <f t="shared" si="353"/>
        <v>1.可借圖書</v>
      </c>
      <c r="AG850" t="str">
        <f t="shared" si="354"/>
        <v>在架</v>
      </c>
      <c r="AI850" t="s">
        <v>65</v>
      </c>
      <c r="AK850" t="str">
        <f t="shared" si="349"/>
        <v>一般(Normal)</v>
      </c>
      <c r="AO850" t="s">
        <v>65</v>
      </c>
      <c r="AS850" t="str">
        <f>("c2000. ")</f>
        <v xml:space="preserve">c2000. </v>
      </c>
      <c r="AT850" t="str">
        <f t="shared" si="350"/>
        <v>catc</v>
      </c>
    </row>
    <row r="851" spans="1:46" x14ac:dyDescent="0.25">
      <c r="A851">
        <v>840</v>
      </c>
      <c r="B851" t="str">
        <f>("289673")</f>
        <v>289673</v>
      </c>
      <c r="C851" t="str">
        <f>("W00002876")</f>
        <v>W00002876</v>
      </c>
      <c r="D851" t="str">
        <f>("Virtual private networks / ")</f>
        <v xml:space="preserve">Virtual private networks / </v>
      </c>
      <c r="E851" t="str">
        <f>("Scott, Charlie. ")</f>
        <v xml:space="preserve">Scott, Charlie. </v>
      </c>
      <c r="F851" t="str">
        <f>("O'Reilly, ")</f>
        <v xml:space="preserve">O'Reilly, </v>
      </c>
      <c r="G851" t="str">
        <f>("2nd ed. ")</f>
        <v xml:space="preserve">2nd ed. </v>
      </c>
      <c r="H851" t="str">
        <f t="shared" si="351"/>
        <v>圖書 book</v>
      </c>
      <c r="I851" t="str">
        <f>("TK5105.875.I57 S425 1999")</f>
        <v>TK5105.875.I57 S425 1999</v>
      </c>
      <c r="J851" t="str">
        <f>("1565925297")</f>
        <v>1565925297</v>
      </c>
      <c r="K851" t="str">
        <f>("984")</f>
        <v>984</v>
      </c>
      <c r="L851" t="str">
        <f t="shared" ref="L851:L914" si="355">("2001/10/10 00:00:00")</f>
        <v>2001/10/10 00:00:00</v>
      </c>
      <c r="M851" t="str">
        <f t="shared" si="346"/>
        <v>2018/08/11 13:34:57</v>
      </c>
      <c r="N851" t="str">
        <f>("1999")</f>
        <v>1999</v>
      </c>
      <c r="O851" t="str">
        <f t="shared" si="352"/>
        <v>4F西文書庫 4F Western Language Books</v>
      </c>
      <c r="P851" t="s">
        <v>64</v>
      </c>
      <c r="W851" t="str">
        <f t="shared" si="339"/>
        <v>美國國會圖書分類法</v>
      </c>
      <c r="Y851" t="str">
        <f>("TK5105.875.I57")</f>
        <v>TK5105.875.I57</v>
      </c>
      <c r="Z851" t="str">
        <f t="shared" si="347"/>
        <v>2018/08/11 13:34:57</v>
      </c>
      <c r="AA851" t="str">
        <f t="shared" si="348"/>
        <v>catc</v>
      </c>
      <c r="AC851" t="str">
        <f>("S425")</f>
        <v>S425</v>
      </c>
      <c r="AE851" t="str">
        <f t="shared" si="345"/>
        <v>c.1</v>
      </c>
      <c r="AF851" t="str">
        <f t="shared" si="353"/>
        <v>1.可借圖書</v>
      </c>
      <c r="AG851" t="str">
        <f t="shared" si="354"/>
        <v>在架</v>
      </c>
      <c r="AI851" t="s">
        <v>65</v>
      </c>
      <c r="AK851" t="str">
        <f t="shared" si="349"/>
        <v>一般(Normal)</v>
      </c>
      <c r="AO851" t="s">
        <v>65</v>
      </c>
      <c r="AS851" t="str">
        <f>("c1999. ")</f>
        <v xml:space="preserve">c1999. </v>
      </c>
      <c r="AT851" t="str">
        <f t="shared" si="350"/>
        <v>catc</v>
      </c>
    </row>
    <row r="852" spans="1:46" x14ac:dyDescent="0.25">
      <c r="A852">
        <v>841</v>
      </c>
      <c r="B852" t="str">
        <f>("289685")</f>
        <v>289685</v>
      </c>
      <c r="C852" t="str">
        <f>("W00002877")</f>
        <v>W00002877</v>
      </c>
      <c r="D852" t="str">
        <f>("Advanced Perl programming /")</f>
        <v>Advanced Perl programming /</v>
      </c>
      <c r="E852" t="str">
        <f>("Srinivasan, Sriram.")</f>
        <v>Srinivasan, Sriram.</v>
      </c>
      <c r="F852" t="str">
        <f>("O'Reilly,")</f>
        <v>O'Reilly,</v>
      </c>
      <c r="G852" t="str">
        <f>("1st ed.")</f>
        <v>1st ed.</v>
      </c>
      <c r="H852" t="str">
        <f t="shared" si="351"/>
        <v>圖書 book</v>
      </c>
      <c r="I852" t="str">
        <f>("QA76.73.P22 S111 1997")</f>
        <v>QA76.73.P22 S111 1997</v>
      </c>
      <c r="J852" t="str">
        <f>("1565922204")</f>
        <v>1565922204</v>
      </c>
      <c r="K852" t="str">
        <f>("984")</f>
        <v>984</v>
      </c>
      <c r="L852" t="str">
        <f t="shared" si="355"/>
        <v>2001/10/10 00:00:00</v>
      </c>
      <c r="M852" t="str">
        <f t="shared" ref="M852:M861" si="356">("2018/08/11 13:34:58")</f>
        <v>2018/08/11 13:34:58</v>
      </c>
      <c r="N852" t="str">
        <f>("1997")</f>
        <v>1997</v>
      </c>
      <c r="O852" t="str">
        <f t="shared" si="352"/>
        <v>4F西文書庫 4F Western Language Books</v>
      </c>
      <c r="P852" t="s">
        <v>64</v>
      </c>
      <c r="W852" t="str">
        <f t="shared" si="339"/>
        <v>美國國會圖書分類法</v>
      </c>
      <c r="Y852" t="str">
        <f>("QA76.73.P22")</f>
        <v>QA76.73.P22</v>
      </c>
      <c r="Z852" t="str">
        <f t="shared" ref="Z852:Z862" si="357">("2018/08/11 13:34:58")</f>
        <v>2018/08/11 13:34:58</v>
      </c>
      <c r="AA852" t="str">
        <f t="shared" si="348"/>
        <v>catc</v>
      </c>
      <c r="AC852" t="str">
        <f>("S111")</f>
        <v>S111</v>
      </c>
      <c r="AE852" t="str">
        <f t="shared" si="345"/>
        <v>c.1</v>
      </c>
      <c r="AF852" t="str">
        <f t="shared" si="353"/>
        <v>1.可借圖書</v>
      </c>
      <c r="AG852" t="str">
        <f t="shared" si="354"/>
        <v>在架</v>
      </c>
      <c r="AI852" t="s">
        <v>65</v>
      </c>
      <c r="AK852" t="str">
        <f t="shared" si="349"/>
        <v>一般(Normal)</v>
      </c>
      <c r="AO852" t="s">
        <v>65</v>
      </c>
      <c r="AS852" t="str">
        <f>("c1997.")</f>
        <v>c1997.</v>
      </c>
      <c r="AT852" t="str">
        <f t="shared" si="350"/>
        <v>catc</v>
      </c>
    </row>
    <row r="853" spans="1:46" x14ac:dyDescent="0.25">
      <c r="A853">
        <v>842</v>
      </c>
      <c r="B853" t="str">
        <f>("289686")</f>
        <v>289686</v>
      </c>
      <c r="C853" t="str">
        <f>("W00002878")</f>
        <v>W00002878</v>
      </c>
      <c r="D853" t="str">
        <f>("Web performance tuning / ")</f>
        <v xml:space="preserve">Web performance tuning / </v>
      </c>
      <c r="E853" t="str">
        <f>("Killelea, Patrick. ")</f>
        <v xml:space="preserve">Killelea, Patrick. </v>
      </c>
      <c r="F853" t="str">
        <f>("O'Reilly, ")</f>
        <v xml:space="preserve">O'Reilly, </v>
      </c>
      <c r="G853" t="str">
        <f>("1st ed. ")</f>
        <v xml:space="preserve">1st ed. </v>
      </c>
      <c r="H853" t="str">
        <f t="shared" si="351"/>
        <v>圖書 book</v>
      </c>
      <c r="I853" t="str">
        <f>("TK5105.888 K48 1998")</f>
        <v>TK5105.888 K48 1998</v>
      </c>
      <c r="J853" t="str">
        <f>("1565923790")</f>
        <v>1565923790</v>
      </c>
      <c r="K853" t="str">
        <f>("928")</f>
        <v>928</v>
      </c>
      <c r="L853" t="str">
        <f t="shared" si="355"/>
        <v>2001/10/10 00:00:00</v>
      </c>
      <c r="M853" t="str">
        <f t="shared" si="356"/>
        <v>2018/08/11 13:34:58</v>
      </c>
      <c r="N853" t="str">
        <f>("1998")</f>
        <v>1998</v>
      </c>
      <c r="O853" t="str">
        <f t="shared" si="352"/>
        <v>4F西文書庫 4F Western Language Books</v>
      </c>
      <c r="P853" t="s">
        <v>64</v>
      </c>
      <c r="W853" t="str">
        <f t="shared" si="339"/>
        <v>美國國會圖書分類法</v>
      </c>
      <c r="Y853" t="str">
        <f>("TK5105.888")</f>
        <v>TK5105.888</v>
      </c>
      <c r="Z853" t="str">
        <f t="shared" si="357"/>
        <v>2018/08/11 13:34:58</v>
      </c>
      <c r="AA853" t="str">
        <f t="shared" si="348"/>
        <v>catc</v>
      </c>
      <c r="AC853" t="str">
        <f>("K48")</f>
        <v>K48</v>
      </c>
      <c r="AE853" t="str">
        <f t="shared" si="345"/>
        <v>c.1</v>
      </c>
      <c r="AF853" t="str">
        <f t="shared" si="353"/>
        <v>1.可借圖書</v>
      </c>
      <c r="AG853" t="str">
        <f t="shared" si="354"/>
        <v>在架</v>
      </c>
      <c r="AI853" t="s">
        <v>65</v>
      </c>
      <c r="AK853" t="str">
        <f t="shared" si="349"/>
        <v>一般(Normal)</v>
      </c>
      <c r="AO853" t="s">
        <v>65</v>
      </c>
      <c r="AS853" t="str">
        <f>("c1998. ")</f>
        <v xml:space="preserve">c1998. </v>
      </c>
      <c r="AT853" t="str">
        <f t="shared" si="350"/>
        <v>catc</v>
      </c>
    </row>
    <row r="854" spans="1:46" x14ac:dyDescent="0.25">
      <c r="A854">
        <v>843</v>
      </c>
      <c r="B854" t="str">
        <f>("289687")</f>
        <v>289687</v>
      </c>
      <c r="C854" t="str">
        <f>("W00002879")</f>
        <v>W00002879</v>
      </c>
      <c r="D854" t="str">
        <f>("The official America Online Internet guide / ")</f>
        <v xml:space="preserve">The official America Online Internet guide / </v>
      </c>
      <c r="E854" t="str">
        <f>("Peal, David. ")</f>
        <v xml:space="preserve">Peal, David. </v>
      </c>
      <c r="F854" t="str">
        <f>("Osborne/McGraw-Hill, ")</f>
        <v xml:space="preserve">Osborne/McGraw-Hill, </v>
      </c>
      <c r="G854" t="str">
        <f>("Windows ed. ")</f>
        <v xml:space="preserve">Windows ed. </v>
      </c>
      <c r="H854" t="str">
        <f t="shared" si="351"/>
        <v>圖書 book</v>
      </c>
      <c r="I854" t="str">
        <f>("TK5105.875.I57 P358 1997")</f>
        <v>TK5105.875.I57 P358 1997</v>
      </c>
      <c r="J854" t="str">
        <f>("0078823315")</f>
        <v>0078823315</v>
      </c>
      <c r="K854" t="str">
        <f>("704")</f>
        <v>704</v>
      </c>
      <c r="L854" t="str">
        <f t="shared" si="355"/>
        <v>2001/10/10 00:00:00</v>
      </c>
      <c r="M854" t="str">
        <f t="shared" si="356"/>
        <v>2018/08/11 13:34:58</v>
      </c>
      <c r="N854" t="str">
        <f>("1997")</f>
        <v>1997</v>
      </c>
      <c r="O854" t="str">
        <f t="shared" si="352"/>
        <v>4F西文書庫 4F Western Language Books</v>
      </c>
      <c r="P854" t="s">
        <v>64</v>
      </c>
      <c r="W854" t="str">
        <f t="shared" si="339"/>
        <v>美國國會圖書分類法</v>
      </c>
      <c r="Y854" t="str">
        <f>("TK5105.875.I57")</f>
        <v>TK5105.875.I57</v>
      </c>
      <c r="Z854" t="str">
        <f t="shared" si="357"/>
        <v>2018/08/11 13:34:58</v>
      </c>
      <c r="AA854" t="str">
        <f t="shared" si="348"/>
        <v>catc</v>
      </c>
      <c r="AC854" t="str">
        <f>("P358")</f>
        <v>P358</v>
      </c>
      <c r="AE854" t="str">
        <f t="shared" si="345"/>
        <v>c.1</v>
      </c>
      <c r="AF854" t="str">
        <f t="shared" si="353"/>
        <v>1.可借圖書</v>
      </c>
      <c r="AG854" t="str">
        <f t="shared" si="354"/>
        <v>在架</v>
      </c>
      <c r="AI854" t="s">
        <v>65</v>
      </c>
      <c r="AK854" t="str">
        <f t="shared" si="349"/>
        <v>一般(Normal)</v>
      </c>
      <c r="AO854" t="s">
        <v>65</v>
      </c>
      <c r="AS854" t="str">
        <f>("c1997. ")</f>
        <v xml:space="preserve">c1997. </v>
      </c>
      <c r="AT854" t="str">
        <f t="shared" si="350"/>
        <v>catc</v>
      </c>
    </row>
    <row r="855" spans="1:46" x14ac:dyDescent="0.25">
      <c r="A855">
        <v>844</v>
      </c>
      <c r="B855" t="str">
        <f>("289688")</f>
        <v>289688</v>
      </c>
      <c r="C855" t="str">
        <f>("W00002880")</f>
        <v>W00002880</v>
      </c>
      <c r="D855" t="str">
        <f>("Inside XML  ")</f>
        <v xml:space="preserve">Inside XML  </v>
      </c>
      <c r="E855" t="str">
        <f>("Holzner, Steven. ")</f>
        <v xml:space="preserve">Holzner, Steven. </v>
      </c>
      <c r="F855" t="str">
        <f>("New Riders, ")</f>
        <v xml:space="preserve">New Riders, </v>
      </c>
      <c r="H855" t="str">
        <f t="shared" si="351"/>
        <v>圖書 book</v>
      </c>
      <c r="I855" t="str">
        <f>("QA76.76.H94 H762 2001")</f>
        <v>QA76.76.H94 H762 2001</v>
      </c>
      <c r="J855" t="str">
        <f>("0735710201")</f>
        <v>0735710201</v>
      </c>
      <c r="K855" t="str">
        <f>("1400")</f>
        <v>1400</v>
      </c>
      <c r="L855" t="str">
        <f t="shared" si="355"/>
        <v>2001/10/10 00:00:00</v>
      </c>
      <c r="M855" t="str">
        <f t="shared" si="356"/>
        <v>2018/08/11 13:34:58</v>
      </c>
      <c r="N855" t="str">
        <f>("2001")</f>
        <v>2001</v>
      </c>
      <c r="O855" t="str">
        <f t="shared" si="352"/>
        <v>4F西文書庫 4F Western Language Books</v>
      </c>
      <c r="P855" t="s">
        <v>64</v>
      </c>
      <c r="W855" t="str">
        <f t="shared" si="339"/>
        <v>美國國會圖書分類法</v>
      </c>
      <c r="Y855" t="str">
        <f>("QA76.76.H94")</f>
        <v>QA76.76.H94</v>
      </c>
      <c r="Z855" t="str">
        <f t="shared" si="357"/>
        <v>2018/08/11 13:34:58</v>
      </c>
      <c r="AA855" t="str">
        <f t="shared" si="348"/>
        <v>catc</v>
      </c>
      <c r="AC855" t="str">
        <f>("H762")</f>
        <v>H762</v>
      </c>
      <c r="AE855" t="str">
        <f t="shared" si="345"/>
        <v>c.1</v>
      </c>
      <c r="AF855" t="str">
        <f t="shared" si="353"/>
        <v>1.可借圖書</v>
      </c>
      <c r="AG855" t="str">
        <f t="shared" si="354"/>
        <v>在架</v>
      </c>
      <c r="AI855" t="s">
        <v>65</v>
      </c>
      <c r="AK855" t="str">
        <f t="shared" si="349"/>
        <v>一般(Normal)</v>
      </c>
      <c r="AO855" t="s">
        <v>65</v>
      </c>
      <c r="AS855" t="str">
        <f>("c2001. ")</f>
        <v xml:space="preserve">c2001. </v>
      </c>
      <c r="AT855" t="str">
        <f t="shared" si="350"/>
        <v>catc</v>
      </c>
    </row>
    <row r="856" spans="1:46" x14ac:dyDescent="0.25">
      <c r="A856">
        <v>845</v>
      </c>
      <c r="B856" t="str">
        <f>("289689")</f>
        <v>289689</v>
      </c>
      <c r="C856" t="str">
        <f>("W00002881")</f>
        <v>W00002881</v>
      </c>
      <c r="D856" t="str">
        <f>("Enterprise JavaBeans / ")</f>
        <v xml:space="preserve">Enterprise JavaBeans / </v>
      </c>
      <c r="E856" t="str">
        <f>("Monson-Haefel, Richard. ")</f>
        <v xml:space="preserve">Monson-Haefel, Richard. </v>
      </c>
      <c r="F856" t="str">
        <f>("O'Reilly &amp; Associates, ")</f>
        <v xml:space="preserve">O'Reilly &amp; Associates, </v>
      </c>
      <c r="G856" t="str">
        <f>("2nd ed. ")</f>
        <v xml:space="preserve">2nd ed. </v>
      </c>
      <c r="H856" t="str">
        <f t="shared" si="351"/>
        <v>圖書 book</v>
      </c>
      <c r="I856" t="str">
        <f>("QA76.73.J38 M755-2 2000")</f>
        <v>QA76.73.J38 M755-2 2000</v>
      </c>
      <c r="J856" t="str">
        <f>("1565928695")</f>
        <v>1565928695</v>
      </c>
      <c r="K856" t="str">
        <f>("984")</f>
        <v>984</v>
      </c>
      <c r="L856" t="str">
        <f t="shared" si="355"/>
        <v>2001/10/10 00:00:00</v>
      </c>
      <c r="M856" t="str">
        <f t="shared" si="356"/>
        <v>2018/08/11 13:34:58</v>
      </c>
      <c r="N856" t="str">
        <f>("2000")</f>
        <v>2000</v>
      </c>
      <c r="O856" t="str">
        <f t="shared" si="352"/>
        <v>4F西文書庫 4F Western Language Books</v>
      </c>
      <c r="P856" t="s">
        <v>64</v>
      </c>
      <c r="W856" t="str">
        <f t="shared" si="339"/>
        <v>美國國會圖書分類法</v>
      </c>
      <c r="Y856" t="str">
        <f>("QA76.73.J38")</f>
        <v>QA76.73.J38</v>
      </c>
      <c r="Z856" t="str">
        <f t="shared" si="357"/>
        <v>2018/08/11 13:34:58</v>
      </c>
      <c r="AA856" t="str">
        <f t="shared" si="348"/>
        <v>catc</v>
      </c>
      <c r="AC856" t="str">
        <f>("M755-2")</f>
        <v>M755-2</v>
      </c>
      <c r="AE856" t="str">
        <f t="shared" si="345"/>
        <v>c.1</v>
      </c>
      <c r="AF856" t="str">
        <f t="shared" si="353"/>
        <v>1.可借圖書</v>
      </c>
      <c r="AG856" t="str">
        <f t="shared" si="354"/>
        <v>在架</v>
      </c>
      <c r="AI856" t="s">
        <v>65</v>
      </c>
      <c r="AK856" t="str">
        <f t="shared" si="349"/>
        <v>一般(Normal)</v>
      </c>
      <c r="AO856" t="s">
        <v>65</v>
      </c>
      <c r="AS856" t="str">
        <f>("2000. ")</f>
        <v xml:space="preserve">2000. </v>
      </c>
      <c r="AT856" t="str">
        <f t="shared" si="350"/>
        <v>catc</v>
      </c>
    </row>
    <row r="857" spans="1:46" x14ac:dyDescent="0.25">
      <c r="A857">
        <v>846</v>
      </c>
      <c r="B857" t="str">
        <f>("289674")</f>
        <v>289674</v>
      </c>
      <c r="C857" t="str">
        <f>("W00002882")</f>
        <v>W00002882</v>
      </c>
      <c r="D857" t="str">
        <f>("UML components : a simple process for specifying component-based software / ")</f>
        <v xml:space="preserve">UML components : a simple process for specifying component-based software / </v>
      </c>
      <c r="E857" t="str">
        <f>("Cheesman, John, 1962- ")</f>
        <v xml:space="preserve">Cheesman, John, 1962- </v>
      </c>
      <c r="F857" t="str">
        <f>("Addison-Wesley, ")</f>
        <v xml:space="preserve">Addison-Wesley, </v>
      </c>
      <c r="H857" t="str">
        <f t="shared" si="351"/>
        <v>圖書 book</v>
      </c>
      <c r="I857" t="str">
        <f>("QA76.76.C66 C515 2001")</f>
        <v>QA76.76.C66 C515 2001</v>
      </c>
      <c r="J857" t="str">
        <f>("0201708515")</f>
        <v>0201708515</v>
      </c>
      <c r="K857" t="str">
        <f>("800")</f>
        <v>800</v>
      </c>
      <c r="L857" t="str">
        <f t="shared" si="355"/>
        <v>2001/10/10 00:00:00</v>
      </c>
      <c r="M857" t="str">
        <f t="shared" si="356"/>
        <v>2018/08/11 13:34:58</v>
      </c>
      <c r="N857" t="str">
        <f>("2001")</f>
        <v>2001</v>
      </c>
      <c r="O857" t="str">
        <f t="shared" si="352"/>
        <v>4F西文書庫 4F Western Language Books</v>
      </c>
      <c r="P857" t="s">
        <v>64</v>
      </c>
      <c r="W857" t="str">
        <f t="shared" si="339"/>
        <v>美國國會圖書分類法</v>
      </c>
      <c r="Y857" t="str">
        <f>("QA76.76.C66")</f>
        <v>QA76.76.C66</v>
      </c>
      <c r="Z857" t="str">
        <f t="shared" si="357"/>
        <v>2018/08/11 13:34:58</v>
      </c>
      <c r="AA857" t="str">
        <f t="shared" si="348"/>
        <v>catc</v>
      </c>
      <c r="AC857" t="str">
        <f>("C515")</f>
        <v>C515</v>
      </c>
      <c r="AE857" t="str">
        <f t="shared" si="345"/>
        <v>c.1</v>
      </c>
      <c r="AF857" t="str">
        <f t="shared" si="353"/>
        <v>1.可借圖書</v>
      </c>
      <c r="AG857" t="str">
        <f t="shared" si="354"/>
        <v>在架</v>
      </c>
      <c r="AI857" t="s">
        <v>65</v>
      </c>
      <c r="AK857" t="str">
        <f t="shared" si="349"/>
        <v>一般(Normal)</v>
      </c>
      <c r="AO857" t="s">
        <v>65</v>
      </c>
      <c r="AS857" t="str">
        <f>("c2001. ")</f>
        <v xml:space="preserve">c2001. </v>
      </c>
      <c r="AT857" t="str">
        <f t="shared" si="350"/>
        <v>catc</v>
      </c>
    </row>
    <row r="858" spans="1:46" x14ac:dyDescent="0.25">
      <c r="A858">
        <v>847</v>
      </c>
      <c r="B858" t="str">
        <f>("289675")</f>
        <v>289675</v>
      </c>
      <c r="C858" t="str">
        <f>("W00002883")</f>
        <v>W00002883</v>
      </c>
      <c r="D858" t="str">
        <f>("Developing Visual Basic add-ins /")</f>
        <v>Developing Visual Basic add-ins /</v>
      </c>
      <c r="E858" t="str">
        <f>("Roman, Steven ")</f>
        <v xml:space="preserve">Roman, Steven </v>
      </c>
      <c r="F858" t="str">
        <f>("O'Reilly,")</f>
        <v>O'Reilly,</v>
      </c>
      <c r="H858" t="str">
        <f t="shared" si="351"/>
        <v>圖書 book</v>
      </c>
      <c r="I858" t="str">
        <f>("QA76.73.B3 R758 1999")</f>
        <v>QA76.73.B3 R758 1999</v>
      </c>
      <c r="J858" t="str">
        <f>("1565925270")</f>
        <v>1565925270</v>
      </c>
      <c r="K858" t="str">
        <f>("784")</f>
        <v>784</v>
      </c>
      <c r="L858" t="str">
        <f t="shared" si="355"/>
        <v>2001/10/10 00:00:00</v>
      </c>
      <c r="M858" t="str">
        <f t="shared" si="356"/>
        <v>2018/08/11 13:34:58</v>
      </c>
      <c r="N858" t="str">
        <f>("1999")</f>
        <v>1999</v>
      </c>
      <c r="O858" t="str">
        <f t="shared" si="352"/>
        <v>4F西文書庫 4F Western Language Books</v>
      </c>
      <c r="P858" t="s">
        <v>64</v>
      </c>
      <c r="W858" t="str">
        <f t="shared" si="339"/>
        <v>美國國會圖書分類法</v>
      </c>
      <c r="Y858" t="str">
        <f>("QA76.73.B3")</f>
        <v>QA76.73.B3</v>
      </c>
      <c r="Z858" t="str">
        <f t="shared" si="357"/>
        <v>2018/08/11 13:34:58</v>
      </c>
      <c r="AA858" t="str">
        <f t="shared" si="348"/>
        <v>catc</v>
      </c>
      <c r="AC858" t="str">
        <f>("R758")</f>
        <v>R758</v>
      </c>
      <c r="AE858" t="str">
        <f t="shared" si="345"/>
        <v>c.1</v>
      </c>
      <c r="AF858" t="str">
        <f t="shared" si="353"/>
        <v>1.可借圖書</v>
      </c>
      <c r="AG858" t="str">
        <f t="shared" si="354"/>
        <v>在架</v>
      </c>
      <c r="AI858" t="s">
        <v>65</v>
      </c>
      <c r="AK858" t="str">
        <f t="shared" si="349"/>
        <v>一般(Normal)</v>
      </c>
      <c r="AO858" t="s">
        <v>65</v>
      </c>
      <c r="AS858" t="str">
        <f>("1999 ")</f>
        <v xml:space="preserve">1999 </v>
      </c>
      <c r="AT858" t="str">
        <f t="shared" si="350"/>
        <v>catc</v>
      </c>
    </row>
    <row r="859" spans="1:46" x14ac:dyDescent="0.25">
      <c r="A859">
        <v>848</v>
      </c>
      <c r="B859" t="str">
        <f>("289676")</f>
        <v>289676</v>
      </c>
      <c r="C859" t="str">
        <f>("W00002884")</f>
        <v>W00002884</v>
      </c>
      <c r="D859" t="str">
        <f>("DHCP for windows 2000 / ")</f>
        <v xml:space="preserve">DHCP for windows 2000 / </v>
      </c>
      <c r="E859" t="str">
        <f>("Alcott, Neall. ")</f>
        <v xml:space="preserve">Alcott, Neall. </v>
      </c>
      <c r="F859" t="str">
        <f>("O'Reilly, ")</f>
        <v xml:space="preserve">O'Reilly, </v>
      </c>
      <c r="H859" t="str">
        <f t="shared" si="351"/>
        <v>圖書 book</v>
      </c>
      <c r="I859" t="str">
        <f>("TK5105.585 A355 2001")</f>
        <v>TK5105.585 A355 2001</v>
      </c>
      <c r="J859" t="str">
        <f>("1565928385")</f>
        <v>1565928385</v>
      </c>
      <c r="K859" t="str">
        <f>("984")</f>
        <v>984</v>
      </c>
      <c r="L859" t="str">
        <f t="shared" si="355"/>
        <v>2001/10/10 00:00:00</v>
      </c>
      <c r="M859" t="str">
        <f t="shared" si="356"/>
        <v>2018/08/11 13:34:58</v>
      </c>
      <c r="N859" t="str">
        <f>("2001")</f>
        <v>2001</v>
      </c>
      <c r="O859" t="str">
        <f t="shared" si="352"/>
        <v>4F西文書庫 4F Western Language Books</v>
      </c>
      <c r="P859" t="s">
        <v>64</v>
      </c>
      <c r="W859" t="str">
        <f t="shared" si="339"/>
        <v>美國國會圖書分類法</v>
      </c>
      <c r="Y859" t="str">
        <f>("TK5105.585")</f>
        <v>TK5105.585</v>
      </c>
      <c r="Z859" t="str">
        <f t="shared" si="357"/>
        <v>2018/08/11 13:34:58</v>
      </c>
      <c r="AA859" t="str">
        <f t="shared" si="348"/>
        <v>catc</v>
      </c>
      <c r="AC859" t="str">
        <f>("A355")</f>
        <v>A355</v>
      </c>
      <c r="AE859" t="str">
        <f t="shared" si="345"/>
        <v>c.1</v>
      </c>
      <c r="AF859" t="str">
        <f t="shared" si="353"/>
        <v>1.可借圖書</v>
      </c>
      <c r="AG859" t="str">
        <f t="shared" si="354"/>
        <v>在架</v>
      </c>
      <c r="AI859" t="s">
        <v>65</v>
      </c>
      <c r="AK859" t="str">
        <f t="shared" si="349"/>
        <v>一般(Normal)</v>
      </c>
      <c r="AO859" t="s">
        <v>65</v>
      </c>
      <c r="AS859" t="str">
        <f>("2001. ")</f>
        <v xml:space="preserve">2001. </v>
      </c>
      <c r="AT859" t="str">
        <f t="shared" si="350"/>
        <v>catc</v>
      </c>
    </row>
    <row r="860" spans="1:46" x14ac:dyDescent="0.25">
      <c r="A860">
        <v>849</v>
      </c>
      <c r="B860" t="str">
        <f>("289677")</f>
        <v>289677</v>
      </c>
      <c r="C860" t="str">
        <f>("W00002885")</f>
        <v>W00002885</v>
      </c>
      <c r="D860" t="str">
        <f>("Developing Windows error messages / ")</f>
        <v xml:space="preserve">Developing Windows error messages / </v>
      </c>
      <c r="E860" t="str">
        <f>("Ezzell, Ben. ")</f>
        <v xml:space="preserve">Ezzell, Ben. </v>
      </c>
      <c r="F860" t="str">
        <f>("O'Reilly, ")</f>
        <v xml:space="preserve">O'Reilly, </v>
      </c>
      <c r="G860" t="str">
        <f>("1st ed. ")</f>
        <v xml:space="preserve">1st ed. </v>
      </c>
      <c r="H860" t="str">
        <f t="shared" si="351"/>
        <v>圖書 book</v>
      </c>
      <c r="I860" t="str">
        <f>("QA76.9.E77 E99 1998")</f>
        <v>QA76.9.E77 E99 1998</v>
      </c>
      <c r="J860" t="str">
        <f>("1565923561")</f>
        <v>1565923561</v>
      </c>
      <c r="K860" t="str">
        <f>("1120")</f>
        <v>1120</v>
      </c>
      <c r="L860" t="str">
        <f t="shared" si="355"/>
        <v>2001/10/10 00:00:00</v>
      </c>
      <c r="M860" t="str">
        <f t="shared" si="356"/>
        <v>2018/08/11 13:34:58</v>
      </c>
      <c r="N860" t="str">
        <f>("1998")</f>
        <v>1998</v>
      </c>
      <c r="O860" t="str">
        <f t="shared" si="352"/>
        <v>4F西文書庫 4F Western Language Books</v>
      </c>
      <c r="P860" t="s">
        <v>64</v>
      </c>
      <c r="W860" t="str">
        <f t="shared" si="339"/>
        <v>美國國會圖書分類法</v>
      </c>
      <c r="Y860" t="str">
        <f>("QA76.9.E77")</f>
        <v>QA76.9.E77</v>
      </c>
      <c r="Z860" t="str">
        <f t="shared" si="357"/>
        <v>2018/08/11 13:34:58</v>
      </c>
      <c r="AA860" t="str">
        <f t="shared" si="348"/>
        <v>catc</v>
      </c>
      <c r="AC860" t="str">
        <f>("E99")</f>
        <v>E99</v>
      </c>
      <c r="AE860" t="str">
        <f t="shared" si="345"/>
        <v>c.1</v>
      </c>
      <c r="AF860" t="str">
        <f t="shared" si="353"/>
        <v>1.可借圖書</v>
      </c>
      <c r="AG860" t="str">
        <f t="shared" si="354"/>
        <v>在架</v>
      </c>
      <c r="AI860" t="s">
        <v>65</v>
      </c>
      <c r="AK860" t="str">
        <f t="shared" si="349"/>
        <v>一般(Normal)</v>
      </c>
      <c r="AO860" t="s">
        <v>65</v>
      </c>
      <c r="AS860" t="str">
        <f>("c1998. ")</f>
        <v xml:space="preserve">c1998. </v>
      </c>
      <c r="AT860" t="str">
        <f t="shared" si="350"/>
        <v>catc</v>
      </c>
    </row>
    <row r="861" spans="1:46" x14ac:dyDescent="0.25">
      <c r="A861">
        <v>850</v>
      </c>
      <c r="B861" t="str">
        <f>("289678")</f>
        <v>289678</v>
      </c>
      <c r="C861" t="str">
        <f>("W00002886")</f>
        <v>W00002886</v>
      </c>
      <c r="D861" t="str">
        <f>("Big book of IPsec RFCs / ")</f>
        <v xml:space="preserve">Big book of IPsec RFCs / </v>
      </c>
      <c r="E861" t="str">
        <f>("Loshin, Peter. ")</f>
        <v xml:space="preserve">Loshin, Peter. </v>
      </c>
      <c r="F861" t="str">
        <f>("Morgan Kaufmann, ")</f>
        <v xml:space="preserve">Morgan Kaufmann, </v>
      </c>
      <c r="H861" t="str">
        <f t="shared" si="351"/>
        <v>圖書 book</v>
      </c>
      <c r="I861" t="str">
        <f>("QA76.9.A25 L879 2000")</f>
        <v>QA76.9.A25 L879 2000</v>
      </c>
      <c r="J861" t="str">
        <f>("0124558399")</f>
        <v>0124558399</v>
      </c>
      <c r="K861" t="str">
        <f>("880")</f>
        <v>880</v>
      </c>
      <c r="L861" t="str">
        <f t="shared" si="355"/>
        <v>2001/10/10 00:00:00</v>
      </c>
      <c r="M861" t="str">
        <f t="shared" si="356"/>
        <v>2018/08/11 13:34:58</v>
      </c>
      <c r="N861" t="str">
        <f t="shared" ref="N861:N866" si="358">("2000")</f>
        <v>2000</v>
      </c>
      <c r="O861" t="str">
        <f t="shared" si="352"/>
        <v>4F西文書庫 4F Western Language Books</v>
      </c>
      <c r="P861" t="s">
        <v>64</v>
      </c>
      <c r="W861" t="str">
        <f t="shared" si="339"/>
        <v>美國國會圖書分類法</v>
      </c>
      <c r="Y861" t="str">
        <f>("QA76.9.A25")</f>
        <v>QA76.9.A25</v>
      </c>
      <c r="Z861" t="str">
        <f t="shared" si="357"/>
        <v>2018/08/11 13:34:58</v>
      </c>
      <c r="AA861" t="str">
        <f t="shared" si="348"/>
        <v>catc</v>
      </c>
      <c r="AC861" t="str">
        <f>("L879")</f>
        <v>L879</v>
      </c>
      <c r="AE861" t="str">
        <f t="shared" si="345"/>
        <v>c.1</v>
      </c>
      <c r="AF861" t="str">
        <f t="shared" si="353"/>
        <v>1.可借圖書</v>
      </c>
      <c r="AG861" t="str">
        <f t="shared" si="354"/>
        <v>在架</v>
      </c>
      <c r="AI861" t="s">
        <v>65</v>
      </c>
      <c r="AK861" t="str">
        <f t="shared" si="349"/>
        <v>一般(Normal)</v>
      </c>
      <c r="AO861" t="s">
        <v>65</v>
      </c>
      <c r="AS861" t="str">
        <f>("c2000. ")</f>
        <v xml:space="preserve">c2000. </v>
      </c>
      <c r="AT861" t="str">
        <f t="shared" si="350"/>
        <v>catc</v>
      </c>
    </row>
    <row r="862" spans="1:46" x14ac:dyDescent="0.25">
      <c r="A862">
        <v>851</v>
      </c>
      <c r="B862" t="str">
        <f>("289679")</f>
        <v>289679</v>
      </c>
      <c r="C862" t="str">
        <f>("W00002887")</f>
        <v>W00002887</v>
      </c>
      <c r="D862" t="str">
        <f>("Active directory planning and design / ")</f>
        <v xml:space="preserve">Active directory planning and design / </v>
      </c>
      <c r="E862" t="str">
        <f>("Brelsford, Harry M., 1961- ")</f>
        <v xml:space="preserve">Brelsford, Harry M., 1961- </v>
      </c>
      <c r="F862" t="str">
        <f>("M&amp;T Books, ")</f>
        <v xml:space="preserve">M&amp;T Books, </v>
      </c>
      <c r="H862" t="str">
        <f t="shared" si="351"/>
        <v>圖書 book</v>
      </c>
      <c r="I862" t="str">
        <f>("TK5105.595 B828 2000")</f>
        <v>TK5105.595 B828 2000</v>
      </c>
      <c r="J862" t="str">
        <f>("0764547135")</f>
        <v>0764547135</v>
      </c>
      <c r="K862" t="str">
        <f>("840")</f>
        <v>840</v>
      </c>
      <c r="L862" t="str">
        <f t="shared" si="355"/>
        <v>2001/10/10 00:00:00</v>
      </c>
      <c r="M862" t="str">
        <f t="shared" ref="M862:M872" si="359">("2018/08/11 13:34:59")</f>
        <v>2018/08/11 13:34:59</v>
      </c>
      <c r="N862" t="str">
        <f t="shared" si="358"/>
        <v>2000</v>
      </c>
      <c r="O862" t="str">
        <f t="shared" si="352"/>
        <v>4F西文書庫 4F Western Language Books</v>
      </c>
      <c r="P862" t="s">
        <v>64</v>
      </c>
      <c r="W862" t="str">
        <f t="shared" si="339"/>
        <v>美國國會圖書分類法</v>
      </c>
      <c r="Y862" t="str">
        <f>("TK5105.595")</f>
        <v>TK5105.595</v>
      </c>
      <c r="Z862" t="str">
        <f t="shared" si="357"/>
        <v>2018/08/11 13:34:58</v>
      </c>
      <c r="AA862" t="str">
        <f t="shared" si="348"/>
        <v>catc</v>
      </c>
      <c r="AC862" t="str">
        <f>("B828")</f>
        <v>B828</v>
      </c>
      <c r="AE862" t="str">
        <f t="shared" si="345"/>
        <v>c.1</v>
      </c>
      <c r="AF862" t="str">
        <f t="shared" si="353"/>
        <v>1.可借圖書</v>
      </c>
      <c r="AG862" t="str">
        <f t="shared" si="354"/>
        <v>在架</v>
      </c>
      <c r="AI862" t="s">
        <v>65</v>
      </c>
      <c r="AK862" t="str">
        <f t="shared" si="349"/>
        <v>一般(Normal)</v>
      </c>
      <c r="AO862" t="s">
        <v>65</v>
      </c>
      <c r="AS862" t="str">
        <f>("2000. ")</f>
        <v xml:space="preserve">2000. </v>
      </c>
      <c r="AT862" t="str">
        <f t="shared" si="350"/>
        <v>catc</v>
      </c>
    </row>
    <row r="863" spans="1:46" x14ac:dyDescent="0.25">
      <c r="A863">
        <v>852</v>
      </c>
      <c r="B863" t="str">
        <f>("289680")</f>
        <v>289680</v>
      </c>
      <c r="C863" t="str">
        <f>("W00002888")</f>
        <v>W00002888</v>
      </c>
      <c r="D863" t="str">
        <f>("Big book of border gateway protocol (BGP) RFCs / ")</f>
        <v xml:space="preserve">Big book of border gateway protocol (BGP) RFCs / </v>
      </c>
      <c r="E863" t="str">
        <f>("Loshin, Peter. ")</f>
        <v xml:space="preserve">Loshin, Peter. </v>
      </c>
      <c r="F863" t="str">
        <f>("Morgan Kaufmann, ")</f>
        <v xml:space="preserve">Morgan Kaufmann, </v>
      </c>
      <c r="H863" t="str">
        <f t="shared" si="351"/>
        <v>圖書 book</v>
      </c>
      <c r="I863" t="str">
        <f>("TK5105.55 L879 2000")</f>
        <v>TK5105.55 L879 2000</v>
      </c>
      <c r="J863" t="str">
        <f>("0124558461")</f>
        <v>0124558461</v>
      </c>
      <c r="K863" t="str">
        <f>("880")</f>
        <v>880</v>
      </c>
      <c r="L863" t="str">
        <f t="shared" si="355"/>
        <v>2001/10/10 00:00:00</v>
      </c>
      <c r="M863" t="str">
        <f t="shared" si="359"/>
        <v>2018/08/11 13:34:59</v>
      </c>
      <c r="N863" t="str">
        <f t="shared" si="358"/>
        <v>2000</v>
      </c>
      <c r="O863" t="str">
        <f t="shared" si="352"/>
        <v>4F西文書庫 4F Western Language Books</v>
      </c>
      <c r="P863" t="s">
        <v>64</v>
      </c>
      <c r="W863" t="str">
        <f t="shared" si="339"/>
        <v>美國國會圖書分類法</v>
      </c>
      <c r="Y863" t="str">
        <f>("TK5105.55")</f>
        <v>TK5105.55</v>
      </c>
      <c r="Z863" t="str">
        <f t="shared" ref="Z863:Z872" si="360">("2018/08/11 13:34:59")</f>
        <v>2018/08/11 13:34:59</v>
      </c>
      <c r="AA863" t="str">
        <f t="shared" si="348"/>
        <v>catc</v>
      </c>
      <c r="AC863" t="str">
        <f>("L879")</f>
        <v>L879</v>
      </c>
      <c r="AE863" t="str">
        <f t="shared" si="345"/>
        <v>c.1</v>
      </c>
      <c r="AF863" t="str">
        <f t="shared" si="353"/>
        <v>1.可借圖書</v>
      </c>
      <c r="AG863" t="str">
        <f t="shared" si="354"/>
        <v>在架</v>
      </c>
      <c r="AI863" t="s">
        <v>65</v>
      </c>
      <c r="AK863" t="str">
        <f t="shared" si="349"/>
        <v>一般(Normal)</v>
      </c>
      <c r="AO863" t="s">
        <v>65</v>
      </c>
      <c r="AS863" t="str">
        <f>("c2000. ")</f>
        <v xml:space="preserve">c2000. </v>
      </c>
      <c r="AT863" t="str">
        <f t="shared" si="350"/>
        <v>catc</v>
      </c>
    </row>
    <row r="864" spans="1:46" x14ac:dyDescent="0.25">
      <c r="A864">
        <v>853</v>
      </c>
      <c r="B864" t="str">
        <f>("289701")</f>
        <v>289701</v>
      </c>
      <c r="C864" t="str">
        <f>("W00002889")</f>
        <v>W00002889</v>
      </c>
      <c r="D864" t="str">
        <f>("Linux Apache Web server administration (Craig Hunt Linux Library) / ")</f>
        <v xml:space="preserve">Linux Apache Web server administration (Craig Hunt Linux Library) / </v>
      </c>
      <c r="E864" t="str">
        <f>("Aulds, Charles. ")</f>
        <v xml:space="preserve">Aulds, Charles. </v>
      </c>
      <c r="F864" t="str">
        <f>("Sybex Inc., ")</f>
        <v xml:space="preserve">Sybex Inc., </v>
      </c>
      <c r="G864" t="str">
        <f>("1st. ed")</f>
        <v>1st. ed</v>
      </c>
      <c r="H864" t="str">
        <f t="shared" si="351"/>
        <v>圖書 book</v>
      </c>
      <c r="I864" t="str">
        <f>("TK5105.8885 A924 2000")</f>
        <v>TK5105.8885 A924 2000</v>
      </c>
      <c r="J864" t="str">
        <f>("0782127347")</f>
        <v>0782127347</v>
      </c>
      <c r="K864" t="str">
        <f>("1120")</f>
        <v>1120</v>
      </c>
      <c r="L864" t="str">
        <f t="shared" si="355"/>
        <v>2001/10/10 00:00:00</v>
      </c>
      <c r="M864" t="str">
        <f t="shared" si="359"/>
        <v>2018/08/11 13:34:59</v>
      </c>
      <c r="N864" t="str">
        <f t="shared" si="358"/>
        <v>2000</v>
      </c>
      <c r="O864" t="str">
        <f t="shared" si="352"/>
        <v>4F西文書庫 4F Western Language Books</v>
      </c>
      <c r="P864" t="s">
        <v>64</v>
      </c>
      <c r="W864" t="str">
        <f t="shared" si="339"/>
        <v>美國國會圖書分類法</v>
      </c>
      <c r="Y864" t="str">
        <f>("TK5105.8885")</f>
        <v>TK5105.8885</v>
      </c>
      <c r="Z864" t="str">
        <f t="shared" si="360"/>
        <v>2018/08/11 13:34:59</v>
      </c>
      <c r="AA864" t="str">
        <f t="shared" si="348"/>
        <v>catc</v>
      </c>
      <c r="AC864" t="str">
        <f>("A924")</f>
        <v>A924</v>
      </c>
      <c r="AE864" t="str">
        <f t="shared" si="345"/>
        <v>c.1</v>
      </c>
      <c r="AF864" t="str">
        <f t="shared" si="353"/>
        <v>1.可借圖書</v>
      </c>
      <c r="AG864" t="str">
        <f t="shared" si="354"/>
        <v>在架</v>
      </c>
      <c r="AI864" t="s">
        <v>65</v>
      </c>
      <c r="AK864" t="str">
        <f t="shared" si="349"/>
        <v>一般(Normal)</v>
      </c>
      <c r="AO864" t="s">
        <v>65</v>
      </c>
      <c r="AS864" t="str">
        <f>("2000. ")</f>
        <v xml:space="preserve">2000. </v>
      </c>
      <c r="AT864" t="str">
        <f t="shared" si="350"/>
        <v>catc</v>
      </c>
    </row>
    <row r="865" spans="1:46" x14ac:dyDescent="0.25">
      <c r="A865">
        <v>854</v>
      </c>
      <c r="B865" t="str">
        <f>("289690")</f>
        <v>289690</v>
      </c>
      <c r="C865" t="str">
        <f>("W00002890")</f>
        <v>W00002890</v>
      </c>
      <c r="D865" t="str">
        <f>("Linkers and loaders / ")</f>
        <v xml:space="preserve">Linkers and loaders / </v>
      </c>
      <c r="E865" t="str">
        <f>("Levine, John R. ")</f>
        <v xml:space="preserve">Levine, John R. </v>
      </c>
      <c r="F865" t="str">
        <f>("Morgan Kaufmann, ")</f>
        <v xml:space="preserve">Morgan Kaufmann, </v>
      </c>
      <c r="H865" t="str">
        <f t="shared" si="351"/>
        <v>圖書 book</v>
      </c>
      <c r="I865" t="str">
        <f>("QA76.76.A87 L665 2000")</f>
        <v>QA76.76.A87 L665 2000</v>
      </c>
      <c r="J865" t="str">
        <f>("1558604960")</f>
        <v>1558604960</v>
      </c>
      <c r="K865" t="str">
        <f>("960")</f>
        <v>960</v>
      </c>
      <c r="L865" t="str">
        <f t="shared" si="355"/>
        <v>2001/10/10 00:00:00</v>
      </c>
      <c r="M865" t="str">
        <f t="shared" si="359"/>
        <v>2018/08/11 13:34:59</v>
      </c>
      <c r="N865" t="str">
        <f t="shared" si="358"/>
        <v>2000</v>
      </c>
      <c r="O865" t="str">
        <f t="shared" si="352"/>
        <v>4F西文書庫 4F Western Language Books</v>
      </c>
      <c r="P865" t="s">
        <v>64</v>
      </c>
      <c r="W865" t="str">
        <f t="shared" si="339"/>
        <v>美國國會圖書分類法</v>
      </c>
      <c r="Y865" t="str">
        <f>("QA76.76.A87")</f>
        <v>QA76.76.A87</v>
      </c>
      <c r="Z865" t="str">
        <f t="shared" si="360"/>
        <v>2018/08/11 13:34:59</v>
      </c>
      <c r="AA865" t="str">
        <f t="shared" si="348"/>
        <v>catc</v>
      </c>
      <c r="AC865" t="str">
        <f>("L665")</f>
        <v>L665</v>
      </c>
      <c r="AE865" t="str">
        <f t="shared" si="345"/>
        <v>c.1</v>
      </c>
      <c r="AF865" t="str">
        <f t="shared" si="353"/>
        <v>1.可借圖書</v>
      </c>
      <c r="AG865" t="str">
        <f t="shared" si="354"/>
        <v>在架</v>
      </c>
      <c r="AI865" t="s">
        <v>65</v>
      </c>
      <c r="AK865" t="str">
        <f t="shared" si="349"/>
        <v>一般(Normal)</v>
      </c>
      <c r="AO865" t="s">
        <v>65</v>
      </c>
      <c r="AS865" t="str">
        <f>("c2000. ")</f>
        <v xml:space="preserve">c2000. </v>
      </c>
      <c r="AT865" t="str">
        <f t="shared" si="350"/>
        <v>catc</v>
      </c>
    </row>
    <row r="866" spans="1:46" x14ac:dyDescent="0.25">
      <c r="A866">
        <v>855</v>
      </c>
      <c r="B866" t="str">
        <f>("289691")</f>
        <v>289691</v>
      </c>
      <c r="C866" t="str">
        <f>("W00002891")</f>
        <v>W00002891</v>
      </c>
      <c r="D866" t="str">
        <f>("Building CISCO remote access networks /")</f>
        <v>Building CISCO remote access networks /</v>
      </c>
      <c r="E866" t="str">
        <f>("Barlas, Joeth")</f>
        <v>Barlas, Joeth</v>
      </c>
      <c r="F866" t="str">
        <f>("Syngress Publishing,")</f>
        <v>Syngress Publishing,</v>
      </c>
      <c r="H866" t="str">
        <f t="shared" si="351"/>
        <v>圖書 book</v>
      </c>
      <c r="I866" t="str">
        <f>("TK5105.5 B257 2000")</f>
        <v>TK5105.5 B257 2000</v>
      </c>
      <c r="J866" t="str">
        <f>("0072121157")</f>
        <v>0072121157</v>
      </c>
      <c r="K866" t="str">
        <f>("1400")</f>
        <v>1400</v>
      </c>
      <c r="L866" t="str">
        <f t="shared" si="355"/>
        <v>2001/10/10 00:00:00</v>
      </c>
      <c r="M866" t="str">
        <f t="shared" si="359"/>
        <v>2018/08/11 13:34:59</v>
      </c>
      <c r="N866" t="str">
        <f t="shared" si="358"/>
        <v>2000</v>
      </c>
      <c r="O866" t="str">
        <f t="shared" si="352"/>
        <v>4F西文書庫 4F Western Language Books</v>
      </c>
      <c r="P866" t="s">
        <v>64</v>
      </c>
      <c r="W866" t="str">
        <f t="shared" si="339"/>
        <v>美國國會圖書分類法</v>
      </c>
      <c r="Y866" t="str">
        <f>("TK5105.5")</f>
        <v>TK5105.5</v>
      </c>
      <c r="Z866" t="str">
        <f t="shared" si="360"/>
        <v>2018/08/11 13:34:59</v>
      </c>
      <c r="AA866" t="str">
        <f t="shared" si="348"/>
        <v>catc</v>
      </c>
      <c r="AC866" t="str">
        <f>("B257")</f>
        <v>B257</v>
      </c>
      <c r="AE866" t="str">
        <f t="shared" si="345"/>
        <v>c.1</v>
      </c>
      <c r="AF866" t="str">
        <f t="shared" si="353"/>
        <v>1.可借圖書</v>
      </c>
      <c r="AG866" t="str">
        <f t="shared" si="354"/>
        <v>在架</v>
      </c>
      <c r="AI866" t="s">
        <v>65</v>
      </c>
      <c r="AK866" t="str">
        <f t="shared" si="349"/>
        <v>一般(Normal)</v>
      </c>
      <c r="AO866" t="s">
        <v>65</v>
      </c>
      <c r="AS866" t="str">
        <f>("c2000")</f>
        <v>c2000</v>
      </c>
      <c r="AT866" t="str">
        <f t="shared" si="350"/>
        <v>catc</v>
      </c>
    </row>
    <row r="867" spans="1:46" x14ac:dyDescent="0.25">
      <c r="A867">
        <v>856</v>
      </c>
      <c r="B867" t="str">
        <f>("289692")</f>
        <v>289692</v>
      </c>
      <c r="C867" t="str">
        <f>("W00002892")</f>
        <v>W00002892</v>
      </c>
      <c r="D867" t="str">
        <f>("Win32 multithreaded programming /")</f>
        <v>Win32 multithreaded programming /</v>
      </c>
      <c r="E867" t="str">
        <f>("Cohen, Aaron ")</f>
        <v xml:space="preserve">Cohen, Aaron </v>
      </c>
      <c r="F867" t="str">
        <f>("O'Reilly &amp; Associates,")</f>
        <v>O'Reilly &amp; Associates,</v>
      </c>
      <c r="G867" t="str">
        <f>("1st ed ")</f>
        <v xml:space="preserve">1st ed </v>
      </c>
      <c r="H867" t="str">
        <f t="shared" si="351"/>
        <v>圖書 book</v>
      </c>
      <c r="I867" t="str">
        <f>("QA76.76.O63 C678 1998")</f>
        <v>QA76.76.O63 C678 1998</v>
      </c>
      <c r="J867" t="str">
        <f>("1565922964")</f>
        <v>1565922964</v>
      </c>
      <c r="K867" t="str">
        <f>("1400")</f>
        <v>1400</v>
      </c>
      <c r="L867" t="str">
        <f t="shared" si="355"/>
        <v>2001/10/10 00:00:00</v>
      </c>
      <c r="M867" t="str">
        <f t="shared" si="359"/>
        <v>2018/08/11 13:34:59</v>
      </c>
      <c r="N867" t="str">
        <f>("1998")</f>
        <v>1998</v>
      </c>
      <c r="O867" t="str">
        <f t="shared" si="352"/>
        <v>4F西文書庫 4F Western Language Books</v>
      </c>
      <c r="P867" t="s">
        <v>64</v>
      </c>
      <c r="S867" t="str">
        <f>("xv, 705 p. :")</f>
        <v>xv, 705 p. :</v>
      </c>
      <c r="T867" t="str">
        <f>("ill. ;")</f>
        <v>ill. ;</v>
      </c>
      <c r="U867" t="str">
        <f>("24 cm. +")</f>
        <v>24 cm. +</v>
      </c>
      <c r="V867" t="str">
        <f>("1 computer laser optical disc (4 3/4 in.) ")</f>
        <v xml:space="preserve">1 computer laser optical disc (4 3/4 in.) </v>
      </c>
      <c r="W867" t="str">
        <f t="shared" si="339"/>
        <v>美國國會圖書分類法</v>
      </c>
      <c r="Y867" t="str">
        <f>("QA76.76.O63")</f>
        <v>QA76.76.O63</v>
      </c>
      <c r="Z867" t="str">
        <f t="shared" si="360"/>
        <v>2018/08/11 13:34:59</v>
      </c>
      <c r="AA867" t="str">
        <f t="shared" si="348"/>
        <v>catc</v>
      </c>
      <c r="AC867" t="str">
        <f>("C678")</f>
        <v>C678</v>
      </c>
      <c r="AE867" t="str">
        <f t="shared" si="345"/>
        <v>c.1</v>
      </c>
      <c r="AF867" t="str">
        <f t="shared" si="353"/>
        <v>1.可借圖書</v>
      </c>
      <c r="AG867" t="str">
        <f t="shared" si="354"/>
        <v>在架</v>
      </c>
      <c r="AI867" t="s">
        <v>65</v>
      </c>
      <c r="AK867" t="str">
        <f t="shared" si="349"/>
        <v>一般(Normal)</v>
      </c>
      <c r="AO867" t="s">
        <v>65</v>
      </c>
      <c r="AS867" t="str">
        <f>("1998 ")</f>
        <v xml:space="preserve">1998 </v>
      </c>
      <c r="AT867" t="str">
        <f t="shared" si="350"/>
        <v>catc</v>
      </c>
    </row>
    <row r="868" spans="1:46" x14ac:dyDescent="0.25">
      <c r="A868">
        <v>857</v>
      </c>
      <c r="B868" t="str">
        <f>("289693")</f>
        <v>289693</v>
      </c>
      <c r="C868" t="str">
        <f>("W00002893")</f>
        <v>W00002893</v>
      </c>
      <c r="D868" t="str">
        <f>("Server-based Java programming / ")</f>
        <v xml:space="preserve">Server-based Java programming / </v>
      </c>
      <c r="E868" t="str">
        <f>("Neward, Ted. ")</f>
        <v xml:space="preserve">Neward, Ted. </v>
      </c>
      <c r="F868" t="str">
        <f>("Manning, ")</f>
        <v xml:space="preserve">Manning, </v>
      </c>
      <c r="H868" t="str">
        <f t="shared" si="351"/>
        <v>圖書 book</v>
      </c>
      <c r="I868" t="str">
        <f>("QA76.73.J38 N532 2000")</f>
        <v>QA76.73.J38 N532 2000</v>
      </c>
      <c r="J868" t="str">
        <f>("1884777716")</f>
        <v>1884777716</v>
      </c>
      <c r="K868" t="str">
        <f>("1400")</f>
        <v>1400</v>
      </c>
      <c r="L868" t="str">
        <f t="shared" si="355"/>
        <v>2001/10/10 00:00:00</v>
      </c>
      <c r="M868" t="str">
        <f t="shared" si="359"/>
        <v>2018/08/11 13:34:59</v>
      </c>
      <c r="N868" t="str">
        <f>("2000")</f>
        <v>2000</v>
      </c>
      <c r="O868" t="str">
        <f t="shared" si="352"/>
        <v>4F西文書庫 4F Western Language Books</v>
      </c>
      <c r="P868" t="s">
        <v>64</v>
      </c>
      <c r="W868" t="str">
        <f t="shared" si="339"/>
        <v>美國國會圖書分類法</v>
      </c>
      <c r="Y868" t="str">
        <f>("QA76.73.J38")</f>
        <v>QA76.73.J38</v>
      </c>
      <c r="Z868" t="str">
        <f t="shared" si="360"/>
        <v>2018/08/11 13:34:59</v>
      </c>
      <c r="AA868" t="str">
        <f t="shared" si="348"/>
        <v>catc</v>
      </c>
      <c r="AC868" t="str">
        <f>("N532")</f>
        <v>N532</v>
      </c>
      <c r="AE868" t="str">
        <f t="shared" si="345"/>
        <v>c.1</v>
      </c>
      <c r="AF868" t="str">
        <f t="shared" si="353"/>
        <v>1.可借圖書</v>
      </c>
      <c r="AG868" t="str">
        <f t="shared" si="354"/>
        <v>在架</v>
      </c>
      <c r="AI868" t="s">
        <v>65</v>
      </c>
      <c r="AK868" t="str">
        <f t="shared" si="349"/>
        <v>一般(Normal)</v>
      </c>
      <c r="AO868" t="s">
        <v>65</v>
      </c>
      <c r="AS868" t="str">
        <f>("c2000. ")</f>
        <v xml:space="preserve">c2000. </v>
      </c>
      <c r="AT868" t="str">
        <f t="shared" si="350"/>
        <v>catc</v>
      </c>
    </row>
    <row r="869" spans="1:46" x14ac:dyDescent="0.25">
      <c r="A869">
        <v>858</v>
      </c>
      <c r="B869" t="str">
        <f>("289694")</f>
        <v>289694</v>
      </c>
      <c r="C869" t="str">
        <f>("W00002894")</f>
        <v>W00002894</v>
      </c>
      <c r="D869" t="str">
        <f>("The unified process construction phasebest practices for completing the unified process /")</f>
        <v>The unified process construction phasebest practices for completing the unified process /</v>
      </c>
      <c r="E869" t="str">
        <f>("Ambler, Scott W ;Constantine, Larry L ")</f>
        <v xml:space="preserve">Ambler, Scott W ;Constantine, Larry L </v>
      </c>
      <c r="F869" t="str">
        <f>("R &amp; D Books,")</f>
        <v>R &amp; D Books,</v>
      </c>
      <c r="H869" t="str">
        <f t="shared" si="351"/>
        <v>圖書 book</v>
      </c>
      <c r="I869" t="str">
        <f>("QA76.76 A493 2000")</f>
        <v>QA76.76 A493 2000</v>
      </c>
      <c r="J869" t="str">
        <f>("192962901X")</f>
        <v>192962901X</v>
      </c>
      <c r="K869" t="str">
        <f>("984")</f>
        <v>984</v>
      </c>
      <c r="L869" t="str">
        <f t="shared" si="355"/>
        <v>2001/10/10 00:00:00</v>
      </c>
      <c r="M869" t="str">
        <f t="shared" si="359"/>
        <v>2018/08/11 13:34:59</v>
      </c>
      <c r="N869" t="str">
        <f>("2000")</f>
        <v>2000</v>
      </c>
      <c r="O869" t="str">
        <f t="shared" si="352"/>
        <v>4F西文書庫 4F Western Language Books</v>
      </c>
      <c r="P869" t="s">
        <v>64</v>
      </c>
      <c r="W869" t="str">
        <f t="shared" si="339"/>
        <v>美國國會圖書分類法</v>
      </c>
      <c r="Y869" t="str">
        <f>("QA76.76")</f>
        <v>QA76.76</v>
      </c>
      <c r="Z869" t="str">
        <f t="shared" si="360"/>
        <v>2018/08/11 13:34:59</v>
      </c>
      <c r="AA869" t="str">
        <f t="shared" si="348"/>
        <v>catc</v>
      </c>
      <c r="AC869" t="str">
        <f>("A493")</f>
        <v>A493</v>
      </c>
      <c r="AE869" t="str">
        <f t="shared" si="345"/>
        <v>c.1</v>
      </c>
      <c r="AF869" t="str">
        <f t="shared" si="353"/>
        <v>1.可借圖書</v>
      </c>
      <c r="AG869" t="str">
        <f t="shared" si="354"/>
        <v>在架</v>
      </c>
      <c r="AI869" t="s">
        <v>65</v>
      </c>
      <c r="AK869" t="str">
        <f t="shared" si="349"/>
        <v>一般(Normal)</v>
      </c>
      <c r="AO869" t="s">
        <v>65</v>
      </c>
      <c r="AS869" t="str">
        <f>("c2000 ")</f>
        <v xml:space="preserve">c2000 </v>
      </c>
      <c r="AT869" t="str">
        <f t="shared" si="350"/>
        <v>catc</v>
      </c>
    </row>
    <row r="870" spans="1:46" x14ac:dyDescent="0.25">
      <c r="A870">
        <v>859</v>
      </c>
      <c r="B870" t="str">
        <f>("289695")</f>
        <v>289695</v>
      </c>
      <c r="C870" t="str">
        <f>("W00002895")</f>
        <v>W00002895</v>
      </c>
      <c r="D870" t="str">
        <f>("Oracle PL/SQL developer's workbook / ")</f>
        <v xml:space="preserve">Oracle PL/SQL developer's workbook / </v>
      </c>
      <c r="E870" t="str">
        <f>("Feuerstein, Steven. ")</f>
        <v xml:space="preserve">Feuerstein, Steven. </v>
      </c>
      <c r="F870" t="str">
        <f>("O'Reilly, ")</f>
        <v xml:space="preserve">O'Reilly, </v>
      </c>
      <c r="G870" t="str">
        <f>("1st ed. ")</f>
        <v xml:space="preserve">1st ed. </v>
      </c>
      <c r="H870" t="str">
        <f t="shared" si="351"/>
        <v>圖書 book</v>
      </c>
      <c r="I870" t="str">
        <f>("QA76.9.D3 F423-2 2000")</f>
        <v>QA76.9.D3 F423-2 2000</v>
      </c>
      <c r="J870" t="str">
        <f>("1565926749")</f>
        <v>1565926749</v>
      </c>
      <c r="K870" t="str">
        <f>("1040")</f>
        <v>1040</v>
      </c>
      <c r="L870" t="str">
        <f t="shared" si="355"/>
        <v>2001/10/10 00:00:00</v>
      </c>
      <c r="M870" t="str">
        <f t="shared" si="359"/>
        <v>2018/08/11 13:34:59</v>
      </c>
      <c r="N870" t="str">
        <f>("2000")</f>
        <v>2000</v>
      </c>
      <c r="O870" t="str">
        <f t="shared" si="352"/>
        <v>4F西文書庫 4F Western Language Books</v>
      </c>
      <c r="P870" t="s">
        <v>64</v>
      </c>
      <c r="W870" t="str">
        <f t="shared" si="339"/>
        <v>美國國會圖書分類法</v>
      </c>
      <c r="Y870" t="str">
        <f>("QA76.9.D3")</f>
        <v>QA76.9.D3</v>
      </c>
      <c r="Z870" t="str">
        <f t="shared" si="360"/>
        <v>2018/08/11 13:34:59</v>
      </c>
      <c r="AA870" t="str">
        <f t="shared" si="348"/>
        <v>catc</v>
      </c>
      <c r="AC870" t="str">
        <f>("F423-2")</f>
        <v>F423-2</v>
      </c>
      <c r="AE870" t="str">
        <f t="shared" si="345"/>
        <v>c.1</v>
      </c>
      <c r="AF870" t="str">
        <f t="shared" si="353"/>
        <v>1.可借圖書</v>
      </c>
      <c r="AG870" t="str">
        <f t="shared" si="354"/>
        <v>在架</v>
      </c>
      <c r="AI870" t="s">
        <v>65</v>
      </c>
      <c r="AK870" t="str">
        <f t="shared" si="349"/>
        <v>一般(Normal)</v>
      </c>
      <c r="AO870" t="s">
        <v>65</v>
      </c>
      <c r="AS870" t="str">
        <f>("c2000. ")</f>
        <v xml:space="preserve">c2000. </v>
      </c>
      <c r="AT870" t="str">
        <f t="shared" si="350"/>
        <v>catc</v>
      </c>
    </row>
    <row r="871" spans="1:46" x14ac:dyDescent="0.25">
      <c r="A871">
        <v>860</v>
      </c>
      <c r="B871" t="str">
        <f>("289696")</f>
        <v>289696</v>
      </c>
      <c r="C871" t="str">
        <f>("W00002896")</f>
        <v>W00002896</v>
      </c>
      <c r="D871" t="str">
        <f>("Dynamic HTML : the definitive reference / ")</f>
        <v xml:space="preserve">Dynamic HTML : the definitive reference / </v>
      </c>
      <c r="E871" t="str">
        <f>("Goodman, Danny. ")</f>
        <v xml:space="preserve">Goodman, Danny. </v>
      </c>
      <c r="F871" t="str">
        <f>("O'Reilly, ")</f>
        <v xml:space="preserve">O'Reilly, </v>
      </c>
      <c r="G871" t="str">
        <f>("1st ed. ")</f>
        <v xml:space="preserve">1st ed. </v>
      </c>
      <c r="H871" t="str">
        <f t="shared" si="351"/>
        <v>圖書 book</v>
      </c>
      <c r="I871" t="str">
        <f>("QA76.76.H94 G653 1998")</f>
        <v>QA76.76.H94 G653 1998</v>
      </c>
      <c r="J871" t="str">
        <f>("1565924940")</f>
        <v>1565924940</v>
      </c>
      <c r="K871" t="str">
        <f>("1264")</f>
        <v>1264</v>
      </c>
      <c r="L871" t="str">
        <f t="shared" si="355"/>
        <v>2001/10/10 00:00:00</v>
      </c>
      <c r="M871" t="str">
        <f t="shared" si="359"/>
        <v>2018/08/11 13:34:59</v>
      </c>
      <c r="N871" t="str">
        <f>("1998")</f>
        <v>1998</v>
      </c>
      <c r="O871" t="str">
        <f t="shared" si="352"/>
        <v>4F西文書庫 4F Western Language Books</v>
      </c>
      <c r="P871" t="s">
        <v>64</v>
      </c>
      <c r="W871" t="str">
        <f t="shared" si="339"/>
        <v>美國國會圖書分類法</v>
      </c>
      <c r="Y871" t="str">
        <f>("QA76.76.H94")</f>
        <v>QA76.76.H94</v>
      </c>
      <c r="Z871" t="str">
        <f t="shared" si="360"/>
        <v>2018/08/11 13:34:59</v>
      </c>
      <c r="AA871" t="str">
        <f t="shared" si="348"/>
        <v>catc</v>
      </c>
      <c r="AC871" t="str">
        <f>("G653")</f>
        <v>G653</v>
      </c>
      <c r="AE871" t="str">
        <f t="shared" si="345"/>
        <v>c.1</v>
      </c>
      <c r="AF871" t="str">
        <f t="shared" si="353"/>
        <v>1.可借圖書</v>
      </c>
      <c r="AG871" t="str">
        <f t="shared" si="354"/>
        <v>在架</v>
      </c>
      <c r="AI871" t="s">
        <v>65</v>
      </c>
      <c r="AK871" t="str">
        <f t="shared" si="349"/>
        <v>一般(Normal)</v>
      </c>
      <c r="AO871" t="s">
        <v>65</v>
      </c>
      <c r="AS871" t="str">
        <f>("1998. ")</f>
        <v xml:space="preserve">1998. </v>
      </c>
      <c r="AT871" t="str">
        <f t="shared" si="350"/>
        <v>catc</v>
      </c>
    </row>
    <row r="872" spans="1:46" x14ac:dyDescent="0.25">
      <c r="A872">
        <v>861</v>
      </c>
      <c r="B872" t="str">
        <f>("289702")</f>
        <v>289702</v>
      </c>
      <c r="C872" t="str">
        <f>("W00002897")</f>
        <v>W00002897</v>
      </c>
      <c r="D872" t="str">
        <f>("Advanced IP routing in Cisco networks / ")</f>
        <v xml:space="preserve">Advanced IP routing in Cisco networks / </v>
      </c>
      <c r="E872" t="str">
        <f>("Slattery, Terry. ")</f>
        <v xml:space="preserve">Slattery, Terry. </v>
      </c>
      <c r="F872" t="str">
        <f>("McGraw-Hill, ")</f>
        <v xml:space="preserve">McGraw-Hill, </v>
      </c>
      <c r="H872" t="str">
        <f t="shared" si="351"/>
        <v>圖書 book</v>
      </c>
      <c r="I872" t="str">
        <f>("TK5105.585 S631-2 1999")</f>
        <v>TK5105.585 S631-2 1999</v>
      </c>
      <c r="J872" t="str">
        <f>("0070581444")</f>
        <v>0070581444</v>
      </c>
      <c r="K872" t="str">
        <f>("1498")</f>
        <v>1498</v>
      </c>
      <c r="L872" t="str">
        <f t="shared" si="355"/>
        <v>2001/10/10 00:00:00</v>
      </c>
      <c r="M872" t="str">
        <f t="shared" si="359"/>
        <v>2018/08/11 13:34:59</v>
      </c>
      <c r="N872" t="str">
        <f>("1999")</f>
        <v>1999</v>
      </c>
      <c r="O872" t="str">
        <f t="shared" si="352"/>
        <v>4F西文書庫 4F Western Language Books</v>
      </c>
      <c r="P872" t="s">
        <v>64</v>
      </c>
      <c r="W872" t="str">
        <f t="shared" si="339"/>
        <v>美國國會圖書分類法</v>
      </c>
      <c r="Y872" t="str">
        <f>("TK5105.585")</f>
        <v>TK5105.585</v>
      </c>
      <c r="Z872" t="str">
        <f t="shared" si="360"/>
        <v>2018/08/11 13:34:59</v>
      </c>
      <c r="AA872" t="str">
        <f t="shared" si="348"/>
        <v>catc</v>
      </c>
      <c r="AC872" t="str">
        <f>("S631-2")</f>
        <v>S631-2</v>
      </c>
      <c r="AE872" t="str">
        <f t="shared" si="345"/>
        <v>c.1</v>
      </c>
      <c r="AF872" t="str">
        <f t="shared" si="353"/>
        <v>1.可借圖書</v>
      </c>
      <c r="AG872" t="str">
        <f t="shared" si="354"/>
        <v>在架</v>
      </c>
      <c r="AI872" t="s">
        <v>65</v>
      </c>
      <c r="AK872" t="str">
        <f t="shared" si="349"/>
        <v>一般(Normal)</v>
      </c>
      <c r="AO872" t="s">
        <v>65</v>
      </c>
      <c r="AS872" t="str">
        <f>("c1999. ")</f>
        <v xml:space="preserve">c1999. </v>
      </c>
      <c r="AT872" t="str">
        <f t="shared" si="350"/>
        <v>catc</v>
      </c>
    </row>
    <row r="873" spans="1:46" x14ac:dyDescent="0.25">
      <c r="A873">
        <v>862</v>
      </c>
      <c r="B873" t="str">
        <f>("289703")</f>
        <v>289703</v>
      </c>
      <c r="C873" t="str">
        <f>("W00002898")</f>
        <v>W00002898</v>
      </c>
      <c r="D873" t="str">
        <f>("Sendmail ")</f>
        <v xml:space="preserve">Sendmail </v>
      </c>
      <c r="E873" t="str">
        <f>("Costales, Bryan.")</f>
        <v>Costales, Bryan.</v>
      </c>
      <c r="F873" t="str">
        <f>("O'Reilly,")</f>
        <v>O'Reilly,</v>
      </c>
      <c r="G873" t="str">
        <f>("2nd ed.")</f>
        <v>2nd ed.</v>
      </c>
      <c r="H873" t="str">
        <f t="shared" si="351"/>
        <v>圖書 book</v>
      </c>
      <c r="I873" t="str">
        <f>("TK5105.8885 C838 1997")</f>
        <v>TK5105.8885 C838 1997</v>
      </c>
      <c r="J873" t="str">
        <f>("1565922220")</f>
        <v>1565922220</v>
      </c>
      <c r="K873" t="str">
        <f>("1264")</f>
        <v>1264</v>
      </c>
      <c r="L873" t="str">
        <f t="shared" si="355"/>
        <v>2001/10/10 00:00:00</v>
      </c>
      <c r="M873" t="str">
        <f t="shared" ref="M873:M883" si="361">("2018/08/11 13:35:00")</f>
        <v>2018/08/11 13:35:00</v>
      </c>
      <c r="N873" t="str">
        <f>("1997")</f>
        <v>1997</v>
      </c>
      <c r="O873" t="str">
        <f t="shared" si="352"/>
        <v>4F西文書庫 4F Western Language Books</v>
      </c>
      <c r="P873" t="s">
        <v>64</v>
      </c>
      <c r="W873" t="str">
        <f t="shared" si="339"/>
        <v>美國國會圖書分類法</v>
      </c>
      <c r="Y873" t="str">
        <f>("TK5105.8885")</f>
        <v>TK5105.8885</v>
      </c>
      <c r="Z873" t="str">
        <f t="shared" ref="Z873:Z883" si="362">("2018/08/11 13:35:00")</f>
        <v>2018/08/11 13:35:00</v>
      </c>
      <c r="AA873" t="str">
        <f t="shared" si="348"/>
        <v>catc</v>
      </c>
      <c r="AC873" t="str">
        <f>("C838")</f>
        <v>C838</v>
      </c>
      <c r="AE873" t="str">
        <f t="shared" si="345"/>
        <v>c.1</v>
      </c>
      <c r="AF873" t="str">
        <f t="shared" si="353"/>
        <v>1.可借圖書</v>
      </c>
      <c r="AG873" t="str">
        <f t="shared" si="354"/>
        <v>在架</v>
      </c>
      <c r="AI873" t="s">
        <v>65</v>
      </c>
      <c r="AK873" t="str">
        <f t="shared" si="349"/>
        <v>一般(Normal)</v>
      </c>
      <c r="AO873" t="s">
        <v>65</v>
      </c>
      <c r="AS873" t="str">
        <f>("c1997.")</f>
        <v>c1997.</v>
      </c>
      <c r="AT873" t="str">
        <f t="shared" si="350"/>
        <v>catc</v>
      </c>
    </row>
    <row r="874" spans="1:46" x14ac:dyDescent="0.25">
      <c r="A874">
        <v>863</v>
      </c>
      <c r="B874" t="str">
        <f>("289704")</f>
        <v>289704</v>
      </c>
      <c r="C874" t="str">
        <f>("W00002899")</f>
        <v>W00002899</v>
      </c>
      <c r="D874" t="str">
        <f>("Unix Secure Shell / ")</f>
        <v xml:space="preserve">Unix Secure Shell / </v>
      </c>
      <c r="E874" t="str">
        <f>("Carasik, Anne H. ")</f>
        <v xml:space="preserve">Carasik, Anne H. </v>
      </c>
      <c r="F874" t="str">
        <f>("McGraw-Hill, ")</f>
        <v xml:space="preserve">McGraw-Hill, </v>
      </c>
      <c r="H874" t="str">
        <f t="shared" si="351"/>
        <v>圖書 book</v>
      </c>
      <c r="I874" t="str">
        <f>("QA76.76.O63 C258 1999")</f>
        <v>QA76.76.O63 C258 1999</v>
      </c>
      <c r="J874" t="str">
        <f>("0071349332")</f>
        <v>0071349332</v>
      </c>
      <c r="K874" t="str">
        <f>("1120")</f>
        <v>1120</v>
      </c>
      <c r="L874" t="str">
        <f t="shared" si="355"/>
        <v>2001/10/10 00:00:00</v>
      </c>
      <c r="M874" t="str">
        <f t="shared" si="361"/>
        <v>2018/08/11 13:35:00</v>
      </c>
      <c r="N874" t="str">
        <f>("1999")</f>
        <v>1999</v>
      </c>
      <c r="O874" t="str">
        <f t="shared" si="352"/>
        <v>4F西文書庫 4F Western Language Books</v>
      </c>
      <c r="P874" t="s">
        <v>64</v>
      </c>
      <c r="W874" t="str">
        <f t="shared" si="339"/>
        <v>美國國會圖書分類法</v>
      </c>
      <c r="Y874" t="str">
        <f>("QA76.76.O63")</f>
        <v>QA76.76.O63</v>
      </c>
      <c r="Z874" t="str">
        <f t="shared" si="362"/>
        <v>2018/08/11 13:35:00</v>
      </c>
      <c r="AA874" t="str">
        <f t="shared" si="348"/>
        <v>catc</v>
      </c>
      <c r="AC874" t="str">
        <f>("C258")</f>
        <v>C258</v>
      </c>
      <c r="AE874" t="str">
        <f t="shared" si="345"/>
        <v>c.1</v>
      </c>
      <c r="AF874" t="str">
        <f t="shared" si="353"/>
        <v>1.可借圖書</v>
      </c>
      <c r="AG874" t="str">
        <f t="shared" si="354"/>
        <v>在架</v>
      </c>
      <c r="AI874" t="s">
        <v>65</v>
      </c>
      <c r="AK874" t="str">
        <f t="shared" si="349"/>
        <v>一般(Normal)</v>
      </c>
      <c r="AO874" t="s">
        <v>65</v>
      </c>
      <c r="AS874" t="str">
        <f>("c1999. ")</f>
        <v xml:space="preserve">c1999. </v>
      </c>
      <c r="AT874" t="str">
        <f t="shared" si="350"/>
        <v>catc</v>
      </c>
    </row>
    <row r="875" spans="1:46" x14ac:dyDescent="0.25">
      <c r="A875">
        <v>864</v>
      </c>
      <c r="B875" t="str">
        <f>("289705")</f>
        <v>289705</v>
      </c>
      <c r="C875" t="str">
        <f>("W00002900")</f>
        <v>W00002900</v>
      </c>
      <c r="D875" t="str">
        <f>("On to Java  ")</f>
        <v xml:space="preserve">On to Java  </v>
      </c>
      <c r="E875" t="str">
        <f>("Winston, Patrick Henry ")</f>
        <v xml:space="preserve">Winston, Patrick Henry </v>
      </c>
      <c r="F875" t="str">
        <f>("Addison-Wesley, ")</f>
        <v xml:space="preserve">Addison-Wesley, </v>
      </c>
      <c r="G875" t="str">
        <f>("2nd ed. ")</f>
        <v xml:space="preserve">2nd ed. </v>
      </c>
      <c r="H875" t="str">
        <f t="shared" si="351"/>
        <v>圖書 book</v>
      </c>
      <c r="I875" t="str">
        <f>("QA76.73.J38 W783 1998 c.2")</f>
        <v>QA76.73.J38 W783 1998 c.2</v>
      </c>
      <c r="J875" t="str">
        <f>("0201385988")</f>
        <v>0201385988</v>
      </c>
      <c r="K875" t="str">
        <f>("648")</f>
        <v>648</v>
      </c>
      <c r="L875" t="str">
        <f t="shared" si="355"/>
        <v>2001/10/10 00:00:00</v>
      </c>
      <c r="M875" t="str">
        <f t="shared" si="361"/>
        <v>2018/08/11 13:35:00</v>
      </c>
      <c r="N875" t="str">
        <f>("1998")</f>
        <v>1998</v>
      </c>
      <c r="O875" t="str">
        <f>("罕用書庫1-洽櫃台填單 Upon-Request Collection1 fil")</f>
        <v>罕用書庫1-洽櫃台填單 Upon-Request Collection1 fil</v>
      </c>
      <c r="P875" t="s">
        <v>64</v>
      </c>
      <c r="S875" t="str">
        <f>("xi, 379 p. : ")</f>
        <v xml:space="preserve">xi, 379 p. : </v>
      </c>
      <c r="T875" t="str">
        <f>("ill. ; ")</f>
        <v xml:space="preserve">ill. ; </v>
      </c>
      <c r="U875" t="str">
        <f>("24 cm. ")</f>
        <v xml:space="preserve">24 cm. </v>
      </c>
      <c r="W875" t="str">
        <f t="shared" si="339"/>
        <v>美國國會圖書分類法</v>
      </c>
      <c r="Y875" t="str">
        <f>("QA76.73.J38")</f>
        <v>QA76.73.J38</v>
      </c>
      <c r="Z875" t="str">
        <f t="shared" si="362"/>
        <v>2018/08/11 13:35:00</v>
      </c>
      <c r="AA875" t="str">
        <f t="shared" si="348"/>
        <v>catc</v>
      </c>
      <c r="AC875" t="str">
        <f>("W783")</f>
        <v>W783</v>
      </c>
      <c r="AE875" t="str">
        <f>("c.2")</f>
        <v>c.2</v>
      </c>
      <c r="AF875" t="str">
        <f>("不流通")</f>
        <v>不流通</v>
      </c>
      <c r="AG875" t="str">
        <f>("報銷中")</f>
        <v>報銷中</v>
      </c>
      <c r="AI875" t="s">
        <v>65</v>
      </c>
      <c r="AK875" t="str">
        <f t="shared" si="349"/>
        <v>一般(Normal)</v>
      </c>
      <c r="AO875" t="s">
        <v>65</v>
      </c>
      <c r="AS875" t="str">
        <f>("c1998. ")</f>
        <v xml:space="preserve">c1998. </v>
      </c>
      <c r="AT875" t="str">
        <f t="shared" si="350"/>
        <v>catc</v>
      </c>
    </row>
    <row r="876" spans="1:46" x14ac:dyDescent="0.25">
      <c r="A876">
        <v>865</v>
      </c>
      <c r="B876" t="str">
        <f>("289706")</f>
        <v>289706</v>
      </c>
      <c r="C876" t="str">
        <f>("W00002901")</f>
        <v>W00002901</v>
      </c>
      <c r="D876" t="str">
        <f>("XML by example  ")</f>
        <v xml:space="preserve">XML by example  </v>
      </c>
      <c r="E876" t="str">
        <f>("Marchal, Benoit. ")</f>
        <v xml:space="preserve">Marchal, Benoit. </v>
      </c>
      <c r="F876" t="str">
        <f>("Que, ")</f>
        <v xml:space="preserve">Que, </v>
      </c>
      <c r="H876" t="str">
        <f t="shared" si="351"/>
        <v>圖書 book</v>
      </c>
      <c r="I876" t="str">
        <f>("TK5105.8885 M315 2000")</f>
        <v>TK5105.8885 M315 2000</v>
      </c>
      <c r="J876" t="str">
        <f>("0789722429")</f>
        <v>0789722429</v>
      </c>
      <c r="K876" t="str">
        <f>("704")</f>
        <v>704</v>
      </c>
      <c r="L876" t="str">
        <f t="shared" si="355"/>
        <v>2001/10/10 00:00:00</v>
      </c>
      <c r="M876" t="str">
        <f t="shared" si="361"/>
        <v>2018/08/11 13:35:00</v>
      </c>
      <c r="N876" t="str">
        <f>("2000")</f>
        <v>2000</v>
      </c>
      <c r="O876" t="str">
        <f t="shared" ref="O876:O907" si="363">("4F西文書庫 4F Western Language Books")</f>
        <v>4F西文書庫 4F Western Language Books</v>
      </c>
      <c r="P876" t="s">
        <v>64</v>
      </c>
      <c r="W876" t="str">
        <f t="shared" si="339"/>
        <v>美國國會圖書分類法</v>
      </c>
      <c r="Y876" t="str">
        <f>("TK5105.8885")</f>
        <v>TK5105.8885</v>
      </c>
      <c r="Z876" t="str">
        <f t="shared" si="362"/>
        <v>2018/08/11 13:35:00</v>
      </c>
      <c r="AA876" t="str">
        <f t="shared" si="348"/>
        <v>catc</v>
      </c>
      <c r="AC876" t="str">
        <f>("M315")</f>
        <v>M315</v>
      </c>
      <c r="AE876" t="str">
        <f t="shared" ref="AE876:AE907" si="364">("c.1")</f>
        <v>c.1</v>
      </c>
      <c r="AF876" t="str">
        <f t="shared" ref="AF876:AF907" si="365">("1.可借圖書")</f>
        <v>1.可借圖書</v>
      </c>
      <c r="AG876" t="str">
        <f t="shared" ref="AG876:AG907" si="366">("在架")</f>
        <v>在架</v>
      </c>
      <c r="AI876" t="s">
        <v>65</v>
      </c>
      <c r="AK876" t="str">
        <f t="shared" si="349"/>
        <v>一般(Normal)</v>
      </c>
      <c r="AO876" t="s">
        <v>65</v>
      </c>
      <c r="AS876" t="str">
        <f>("c2000. ")</f>
        <v xml:space="preserve">c2000. </v>
      </c>
      <c r="AT876" t="str">
        <f t="shared" si="350"/>
        <v>catc</v>
      </c>
    </row>
    <row r="877" spans="1:46" x14ac:dyDescent="0.25">
      <c r="A877">
        <v>866</v>
      </c>
      <c r="B877" t="str">
        <f>("289707")</f>
        <v>289707</v>
      </c>
      <c r="C877" t="str">
        <f>("W00002902")</f>
        <v>W00002902</v>
      </c>
      <c r="D877" t="str">
        <f>("Oracle8 data warehousing / ")</f>
        <v xml:space="preserve">Oracle8 data warehousing / </v>
      </c>
      <c r="E877" t="str">
        <f>("Corey, Michael J.")</f>
        <v>Corey, Michael J.</v>
      </c>
      <c r="F877" t="str">
        <f>("McGraw-Hill, ")</f>
        <v xml:space="preserve">McGraw-Hill, </v>
      </c>
      <c r="H877" t="str">
        <f t="shared" si="351"/>
        <v>圖書 book</v>
      </c>
      <c r="I877" t="str">
        <f>("QA76.9 C797 1998")</f>
        <v>QA76.9 C797 1998</v>
      </c>
      <c r="J877" t="str">
        <f>("0078825113")</f>
        <v>0078825113</v>
      </c>
      <c r="K877" t="str">
        <f>("1264")</f>
        <v>1264</v>
      </c>
      <c r="L877" t="str">
        <f t="shared" si="355"/>
        <v>2001/10/10 00:00:00</v>
      </c>
      <c r="M877" t="str">
        <f t="shared" si="361"/>
        <v>2018/08/11 13:35:00</v>
      </c>
      <c r="N877" t="str">
        <f>("1998")</f>
        <v>1998</v>
      </c>
      <c r="O877" t="str">
        <f t="shared" si="363"/>
        <v>4F西文書庫 4F Western Language Books</v>
      </c>
      <c r="P877" t="s">
        <v>64</v>
      </c>
      <c r="W877" t="str">
        <f t="shared" si="339"/>
        <v>美國國會圖書分類法</v>
      </c>
      <c r="Y877" t="str">
        <f>("QA76.9")</f>
        <v>QA76.9</v>
      </c>
      <c r="Z877" t="str">
        <f t="shared" si="362"/>
        <v>2018/08/11 13:35:00</v>
      </c>
      <c r="AA877" t="str">
        <f t="shared" si="348"/>
        <v>catc</v>
      </c>
      <c r="AC877" t="str">
        <f>("C797")</f>
        <v>C797</v>
      </c>
      <c r="AE877" t="str">
        <f t="shared" si="364"/>
        <v>c.1</v>
      </c>
      <c r="AF877" t="str">
        <f t="shared" si="365"/>
        <v>1.可借圖書</v>
      </c>
      <c r="AG877" t="str">
        <f t="shared" si="366"/>
        <v>在架</v>
      </c>
      <c r="AI877" t="s">
        <v>65</v>
      </c>
      <c r="AK877" t="str">
        <f t="shared" si="349"/>
        <v>一般(Normal)</v>
      </c>
      <c r="AO877" t="s">
        <v>65</v>
      </c>
      <c r="AS877" t="str">
        <f>("c1998. ")</f>
        <v xml:space="preserve">c1998. </v>
      </c>
      <c r="AT877" t="str">
        <f t="shared" si="350"/>
        <v>catc</v>
      </c>
    </row>
    <row r="878" spans="1:46" x14ac:dyDescent="0.25">
      <c r="A878">
        <v>867</v>
      </c>
      <c r="B878" t="str">
        <f>("289708")</f>
        <v>289708</v>
      </c>
      <c r="C878" t="str">
        <f>("W00002903")</f>
        <v>W00002903</v>
      </c>
      <c r="D878" t="str">
        <f>("Stopping spam  ")</f>
        <v xml:space="preserve">Stopping spam  </v>
      </c>
      <c r="E878" t="str">
        <f>("Schwartz, Alan, 1970- ")</f>
        <v xml:space="preserve">Schwartz, Alan, 1970- </v>
      </c>
      <c r="F878" t="str">
        <f>("O'Reilly, ")</f>
        <v xml:space="preserve">O'Reilly, </v>
      </c>
      <c r="H878" t="str">
        <f t="shared" ref="H878:H909" si="367">("圖書 book")</f>
        <v>圖書 book</v>
      </c>
      <c r="I878" t="str">
        <f>("HE7551 S399 1998")</f>
        <v>HE7551 S399 1998</v>
      </c>
      <c r="J878" t="str">
        <f>("156592388X")</f>
        <v>156592388X</v>
      </c>
      <c r="K878" t="str">
        <f>("560")</f>
        <v>560</v>
      </c>
      <c r="L878" t="str">
        <f t="shared" si="355"/>
        <v>2001/10/10 00:00:00</v>
      </c>
      <c r="M878" t="str">
        <f t="shared" si="361"/>
        <v>2018/08/11 13:35:00</v>
      </c>
      <c r="N878" t="str">
        <f>("1998")</f>
        <v>1998</v>
      </c>
      <c r="O878" t="str">
        <f t="shared" si="363"/>
        <v>4F西文書庫 4F Western Language Books</v>
      </c>
      <c r="P878" t="s">
        <v>64</v>
      </c>
      <c r="W878" t="str">
        <f t="shared" si="339"/>
        <v>美國國會圖書分類法</v>
      </c>
      <c r="Y878" t="str">
        <f>("HE7551")</f>
        <v>HE7551</v>
      </c>
      <c r="Z878" t="str">
        <f t="shared" si="362"/>
        <v>2018/08/11 13:35:00</v>
      </c>
      <c r="AA878" t="str">
        <f t="shared" si="348"/>
        <v>catc</v>
      </c>
      <c r="AC878" t="str">
        <f>("S399")</f>
        <v>S399</v>
      </c>
      <c r="AE878" t="str">
        <f t="shared" si="364"/>
        <v>c.1</v>
      </c>
      <c r="AF878" t="str">
        <f t="shared" si="365"/>
        <v>1.可借圖書</v>
      </c>
      <c r="AG878" t="str">
        <f t="shared" si="366"/>
        <v>在架</v>
      </c>
      <c r="AI878" t="s">
        <v>65</v>
      </c>
      <c r="AK878" t="str">
        <f t="shared" si="349"/>
        <v>一般(Normal)</v>
      </c>
      <c r="AO878" t="s">
        <v>65</v>
      </c>
      <c r="AS878" t="str">
        <f>("c1998. ")</f>
        <v xml:space="preserve">c1998. </v>
      </c>
      <c r="AT878" t="str">
        <f t="shared" si="350"/>
        <v>catc</v>
      </c>
    </row>
    <row r="879" spans="1:46" x14ac:dyDescent="0.25">
      <c r="A879">
        <v>868</v>
      </c>
      <c r="B879" t="str">
        <f>("289697")</f>
        <v>289697</v>
      </c>
      <c r="C879" t="str">
        <f>("W00002904")</f>
        <v>W00002904</v>
      </c>
      <c r="D879" t="str">
        <f>("Objects, components, and frameworks with UML : the catalysis approach / ")</f>
        <v xml:space="preserve">Objects, components, and frameworks with UML : the catalysis approach / </v>
      </c>
      <c r="E879" t="str">
        <f>("D'Souza, Desmond Francis. ")</f>
        <v xml:space="preserve">D'Souza, Desmond Francis. </v>
      </c>
      <c r="F879" t="str">
        <f>("Addison-Wesley, ")</f>
        <v xml:space="preserve">Addison-Wesley, </v>
      </c>
      <c r="H879" t="str">
        <f t="shared" si="367"/>
        <v>圖書 book</v>
      </c>
      <c r="I879" t="str">
        <f>("QA76.9.O35 D811 1999")</f>
        <v>QA76.9.O35 D811 1999</v>
      </c>
      <c r="J879" t="str">
        <f>("0201310120")</f>
        <v>0201310120</v>
      </c>
      <c r="K879" t="str">
        <f>("1400")</f>
        <v>1400</v>
      </c>
      <c r="L879" t="str">
        <f t="shared" si="355"/>
        <v>2001/10/10 00:00:00</v>
      </c>
      <c r="M879" t="str">
        <f t="shared" si="361"/>
        <v>2018/08/11 13:35:00</v>
      </c>
      <c r="N879" t="str">
        <f>("1999")</f>
        <v>1999</v>
      </c>
      <c r="O879" t="str">
        <f t="shared" si="363"/>
        <v>4F西文書庫 4F Western Language Books</v>
      </c>
      <c r="P879" t="s">
        <v>64</v>
      </c>
      <c r="W879" t="str">
        <f t="shared" si="339"/>
        <v>美國國會圖書分類法</v>
      </c>
      <c r="Y879" t="str">
        <f>("QA76.9.O35")</f>
        <v>QA76.9.O35</v>
      </c>
      <c r="Z879" t="str">
        <f t="shared" si="362"/>
        <v>2018/08/11 13:35:00</v>
      </c>
      <c r="AA879" t="str">
        <f t="shared" si="348"/>
        <v>catc</v>
      </c>
      <c r="AC879" t="str">
        <f>("D811")</f>
        <v>D811</v>
      </c>
      <c r="AE879" t="str">
        <f t="shared" si="364"/>
        <v>c.1</v>
      </c>
      <c r="AF879" t="str">
        <f t="shared" si="365"/>
        <v>1.可借圖書</v>
      </c>
      <c r="AG879" t="str">
        <f t="shared" si="366"/>
        <v>在架</v>
      </c>
      <c r="AI879" t="s">
        <v>65</v>
      </c>
      <c r="AK879" t="str">
        <f t="shared" si="349"/>
        <v>一般(Normal)</v>
      </c>
      <c r="AO879" t="s">
        <v>65</v>
      </c>
      <c r="AS879" t="str">
        <f>("c1999. ")</f>
        <v xml:space="preserve">c1999. </v>
      </c>
      <c r="AT879" t="str">
        <f t="shared" si="350"/>
        <v>catc</v>
      </c>
    </row>
    <row r="880" spans="1:46" x14ac:dyDescent="0.25">
      <c r="A880">
        <v>869</v>
      </c>
      <c r="B880" t="str">
        <f>("289698")</f>
        <v>289698</v>
      </c>
      <c r="C880" t="str">
        <f>("W00002905")</f>
        <v>W00002905</v>
      </c>
      <c r="D880" t="str">
        <f>("Win32 system programming : a Windows 2000 application developer's guide / ")</f>
        <v xml:space="preserve">Win32 system programming : a Windows 2000 application developer's guide / </v>
      </c>
      <c r="E880" t="str">
        <f>("Hart, Johnson M., 1944- ")</f>
        <v xml:space="preserve">Hart, Johnson M., 1944- </v>
      </c>
      <c r="F880" t="str">
        <f>("Addison-Wesley, ")</f>
        <v xml:space="preserve">Addison-Wesley, </v>
      </c>
      <c r="G880" t="str">
        <f>("2nd ed. ")</f>
        <v xml:space="preserve">2nd ed. </v>
      </c>
      <c r="H880" t="str">
        <f t="shared" si="367"/>
        <v>圖書 book</v>
      </c>
      <c r="I880" t="str">
        <f>("QA76.76 H325 2001")</f>
        <v>QA76.76 H325 2001</v>
      </c>
      <c r="J880" t="str">
        <f>("0201703106")</f>
        <v>0201703106</v>
      </c>
      <c r="K880" t="str">
        <f>("1400")</f>
        <v>1400</v>
      </c>
      <c r="L880" t="str">
        <f t="shared" si="355"/>
        <v>2001/10/10 00:00:00</v>
      </c>
      <c r="M880" t="str">
        <f t="shared" si="361"/>
        <v>2018/08/11 13:35:00</v>
      </c>
      <c r="N880" t="str">
        <f>("2001")</f>
        <v>2001</v>
      </c>
      <c r="O880" t="str">
        <f t="shared" si="363"/>
        <v>4F西文書庫 4F Western Language Books</v>
      </c>
      <c r="P880" t="s">
        <v>64</v>
      </c>
      <c r="S880" t="str">
        <f>("xxviii, 507 p. : ")</f>
        <v xml:space="preserve">xxviii, 507 p. : </v>
      </c>
      <c r="T880" t="str">
        <f>("ill. ; ")</f>
        <v xml:space="preserve">ill. ; </v>
      </c>
      <c r="U880" t="str">
        <f>("25 cm. + ")</f>
        <v xml:space="preserve">25 cm. + </v>
      </c>
      <c r="V880" t="str">
        <f>(" 1 computer disc (4 3/4 in.). ")</f>
        <v xml:space="preserve"> 1 computer disc (4 3/4 in.). </v>
      </c>
      <c r="W880" t="str">
        <f t="shared" si="339"/>
        <v>美國國會圖書分類法</v>
      </c>
      <c r="Y880" t="str">
        <f>("QA76.76")</f>
        <v>QA76.76</v>
      </c>
      <c r="Z880" t="str">
        <f t="shared" si="362"/>
        <v>2018/08/11 13:35:00</v>
      </c>
      <c r="AA880" t="str">
        <f t="shared" si="348"/>
        <v>catc</v>
      </c>
      <c r="AC880" t="str">
        <f>("H325")</f>
        <v>H325</v>
      </c>
      <c r="AE880" t="str">
        <f t="shared" si="364"/>
        <v>c.1</v>
      </c>
      <c r="AF880" t="str">
        <f t="shared" si="365"/>
        <v>1.可借圖書</v>
      </c>
      <c r="AG880" t="str">
        <f t="shared" si="366"/>
        <v>在架</v>
      </c>
      <c r="AI880" t="s">
        <v>65</v>
      </c>
      <c r="AK880" t="str">
        <f t="shared" si="349"/>
        <v>一般(Normal)</v>
      </c>
      <c r="AO880" t="s">
        <v>65</v>
      </c>
      <c r="AS880" t="str">
        <f>("c2001. ")</f>
        <v xml:space="preserve">c2001. </v>
      </c>
      <c r="AT880" t="str">
        <f t="shared" si="350"/>
        <v>catc</v>
      </c>
    </row>
    <row r="881" spans="1:46" x14ac:dyDescent="0.25">
      <c r="A881">
        <v>870</v>
      </c>
      <c r="B881" t="str">
        <f>("289699")</f>
        <v>289699</v>
      </c>
      <c r="C881" t="str">
        <f>("W00002906")</f>
        <v>W00002906</v>
      </c>
      <c r="D881" t="str">
        <f>("Voice over IP networks / ")</f>
        <v xml:space="preserve">Voice over IP networks / </v>
      </c>
      <c r="E881" t="str">
        <f>("Goncalves, Marcus. ")</f>
        <v xml:space="preserve">Goncalves, Marcus. </v>
      </c>
      <c r="F881" t="str">
        <f>("McGraw-Hill, ")</f>
        <v xml:space="preserve">McGraw-Hill, </v>
      </c>
      <c r="H881" t="str">
        <f t="shared" si="367"/>
        <v>圖書 book</v>
      </c>
      <c r="I881" t="str">
        <f>("TK5105.8865 G635 1999")</f>
        <v>TK5105.8865 G635 1999</v>
      </c>
      <c r="J881" t="str">
        <f>("0079137830")</f>
        <v>0079137830</v>
      </c>
      <c r="K881" t="str">
        <f>("1498")</f>
        <v>1498</v>
      </c>
      <c r="L881" t="str">
        <f t="shared" si="355"/>
        <v>2001/10/10 00:00:00</v>
      </c>
      <c r="M881" t="str">
        <f t="shared" si="361"/>
        <v>2018/08/11 13:35:00</v>
      </c>
      <c r="N881" t="str">
        <f>("1999")</f>
        <v>1999</v>
      </c>
      <c r="O881" t="str">
        <f t="shared" si="363"/>
        <v>4F西文書庫 4F Western Language Books</v>
      </c>
      <c r="P881" t="s">
        <v>64</v>
      </c>
      <c r="W881" t="str">
        <f t="shared" si="339"/>
        <v>美國國會圖書分類法</v>
      </c>
      <c r="Y881" t="str">
        <f>("TK5105.8865")</f>
        <v>TK5105.8865</v>
      </c>
      <c r="Z881" t="str">
        <f t="shared" si="362"/>
        <v>2018/08/11 13:35:00</v>
      </c>
      <c r="AA881" t="str">
        <f t="shared" si="348"/>
        <v>catc</v>
      </c>
      <c r="AC881" t="str">
        <f>("G635")</f>
        <v>G635</v>
      </c>
      <c r="AE881" t="str">
        <f t="shared" si="364"/>
        <v>c.1</v>
      </c>
      <c r="AF881" t="str">
        <f t="shared" si="365"/>
        <v>1.可借圖書</v>
      </c>
      <c r="AG881" t="str">
        <f t="shared" si="366"/>
        <v>在架</v>
      </c>
      <c r="AI881" t="s">
        <v>65</v>
      </c>
      <c r="AK881" t="str">
        <f t="shared" si="349"/>
        <v>一般(Normal)</v>
      </c>
      <c r="AO881" t="s">
        <v>65</v>
      </c>
      <c r="AS881" t="str">
        <f>("c1999. ")</f>
        <v xml:space="preserve">c1999. </v>
      </c>
      <c r="AT881" t="str">
        <f t="shared" si="350"/>
        <v>catc</v>
      </c>
    </row>
    <row r="882" spans="1:46" x14ac:dyDescent="0.25">
      <c r="A882">
        <v>871</v>
      </c>
      <c r="B882" t="str">
        <f>("289700")</f>
        <v>289700</v>
      </c>
      <c r="C882" t="str">
        <f>("W00002907")</f>
        <v>W00002907</v>
      </c>
      <c r="D882" t="str">
        <f>("Windows telephony programming : a developer's guide to TAPI / ")</f>
        <v xml:space="preserve">Windows telephony programming : a developer's guide to TAPI / </v>
      </c>
      <c r="E882" t="str">
        <f>("Sells, Chris. ")</f>
        <v xml:space="preserve">Sells, Chris. </v>
      </c>
      <c r="F882" t="str">
        <f>("Addison Wesley Longman, ")</f>
        <v xml:space="preserve">Addison Wesley Longman, </v>
      </c>
      <c r="H882" t="str">
        <f t="shared" si="367"/>
        <v>圖書 book</v>
      </c>
      <c r="I882" t="str">
        <f>("TK7887.5 S467 1998")</f>
        <v>TK7887.5 S467 1998</v>
      </c>
      <c r="J882" t="str">
        <f>("0201634503")</f>
        <v>0201634503</v>
      </c>
      <c r="K882" t="str">
        <f>("1120")</f>
        <v>1120</v>
      </c>
      <c r="L882" t="str">
        <f t="shared" si="355"/>
        <v>2001/10/10 00:00:00</v>
      </c>
      <c r="M882" t="str">
        <f t="shared" si="361"/>
        <v>2018/08/11 13:35:00</v>
      </c>
      <c r="N882" t="str">
        <f>("1998")</f>
        <v>1998</v>
      </c>
      <c r="O882" t="str">
        <f t="shared" si="363"/>
        <v>4F西文書庫 4F Western Language Books</v>
      </c>
      <c r="P882" t="s">
        <v>64</v>
      </c>
      <c r="W882" t="str">
        <f t="shared" si="339"/>
        <v>美國國會圖書分類法</v>
      </c>
      <c r="Y882" t="str">
        <f>("TK7887.5")</f>
        <v>TK7887.5</v>
      </c>
      <c r="Z882" t="str">
        <f t="shared" si="362"/>
        <v>2018/08/11 13:35:00</v>
      </c>
      <c r="AA882" t="str">
        <f t="shared" si="348"/>
        <v>catc</v>
      </c>
      <c r="AC882" t="str">
        <f>("S467")</f>
        <v>S467</v>
      </c>
      <c r="AE882" t="str">
        <f t="shared" si="364"/>
        <v>c.1</v>
      </c>
      <c r="AF882" t="str">
        <f t="shared" si="365"/>
        <v>1.可借圖書</v>
      </c>
      <c r="AG882" t="str">
        <f t="shared" si="366"/>
        <v>在架</v>
      </c>
      <c r="AI882" t="s">
        <v>65</v>
      </c>
      <c r="AK882" t="str">
        <f t="shared" si="349"/>
        <v>一般(Normal)</v>
      </c>
      <c r="AO882" t="s">
        <v>65</v>
      </c>
      <c r="AS882" t="str">
        <f>("c1998. ")</f>
        <v xml:space="preserve">c1998. </v>
      </c>
      <c r="AT882" t="str">
        <f t="shared" si="350"/>
        <v>catc</v>
      </c>
    </row>
    <row r="883" spans="1:46" x14ac:dyDescent="0.25">
      <c r="A883">
        <v>872</v>
      </c>
      <c r="B883" t="str">
        <f>("289721")</f>
        <v>289721</v>
      </c>
      <c r="C883" t="str">
        <f>("W00002908")</f>
        <v>W00002908</v>
      </c>
      <c r="D883" t="str">
        <f>("Cross-platform Perl / ")</f>
        <v xml:space="preserve">Cross-platform Perl / </v>
      </c>
      <c r="E883" t="str">
        <f>("Foster-Johnson, Eric. ")</f>
        <v xml:space="preserve">Foster-Johnson, Eric. </v>
      </c>
      <c r="F883" t="str">
        <f>("IDG Books Worldwide, ")</f>
        <v xml:space="preserve">IDG Books Worldwide, </v>
      </c>
      <c r="G883" t="str">
        <f>("2nd ed. ")</f>
        <v xml:space="preserve">2nd ed. </v>
      </c>
      <c r="H883" t="str">
        <f t="shared" si="367"/>
        <v>圖書 book</v>
      </c>
      <c r="I883" t="str">
        <f>("QA76.73 F754 2000")</f>
        <v>QA76.73 F754 2000</v>
      </c>
      <c r="J883" t="str">
        <f>("0764547291")</f>
        <v>0764547291</v>
      </c>
      <c r="K883" t="str">
        <f>("1120")</f>
        <v>1120</v>
      </c>
      <c r="L883" t="str">
        <f t="shared" si="355"/>
        <v>2001/10/10 00:00:00</v>
      </c>
      <c r="M883" t="str">
        <f t="shared" si="361"/>
        <v>2018/08/11 13:35:00</v>
      </c>
      <c r="N883" t="str">
        <f>("2000")</f>
        <v>2000</v>
      </c>
      <c r="O883" t="str">
        <f t="shared" si="363"/>
        <v>4F西文書庫 4F Western Language Books</v>
      </c>
      <c r="P883" t="s">
        <v>64</v>
      </c>
      <c r="W883" t="str">
        <f t="shared" si="339"/>
        <v>美國國會圖書分類法</v>
      </c>
      <c r="Y883" t="str">
        <f>("QA76.73")</f>
        <v>QA76.73</v>
      </c>
      <c r="Z883" t="str">
        <f t="shared" si="362"/>
        <v>2018/08/11 13:35:00</v>
      </c>
      <c r="AA883" t="str">
        <f t="shared" si="348"/>
        <v>catc</v>
      </c>
      <c r="AC883" t="str">
        <f>("F754")</f>
        <v>F754</v>
      </c>
      <c r="AE883" t="str">
        <f t="shared" si="364"/>
        <v>c.1</v>
      </c>
      <c r="AF883" t="str">
        <f t="shared" si="365"/>
        <v>1.可借圖書</v>
      </c>
      <c r="AG883" t="str">
        <f t="shared" si="366"/>
        <v>在架</v>
      </c>
      <c r="AI883" t="s">
        <v>65</v>
      </c>
      <c r="AK883" t="str">
        <f t="shared" si="349"/>
        <v>一般(Normal)</v>
      </c>
      <c r="AO883" t="s">
        <v>65</v>
      </c>
      <c r="AS883" t="str">
        <f>("c2000. ")</f>
        <v xml:space="preserve">c2000. </v>
      </c>
      <c r="AT883" t="str">
        <f t="shared" si="350"/>
        <v>catc</v>
      </c>
    </row>
    <row r="884" spans="1:46" x14ac:dyDescent="0.25">
      <c r="A884">
        <v>873</v>
      </c>
      <c r="B884" t="str">
        <f>("289722")</f>
        <v>289722</v>
      </c>
      <c r="C884" t="str">
        <f>("W00002909")</f>
        <v>W00002909</v>
      </c>
      <c r="D884" t="str">
        <f>("Successful software development / ")</f>
        <v xml:space="preserve">Successful software development / </v>
      </c>
      <c r="E884" t="str">
        <f>("Donaldson, Scott E. ")</f>
        <v xml:space="preserve">Donaldson, Scott E. </v>
      </c>
      <c r="F884" t="str">
        <f>("Prentice Hall PTR, ")</f>
        <v xml:space="preserve">Prentice Hall PTR, </v>
      </c>
      <c r="G884" t="str">
        <f>("2nd ed. ")</f>
        <v xml:space="preserve">2nd ed. </v>
      </c>
      <c r="H884" t="str">
        <f t="shared" si="367"/>
        <v>圖書 book</v>
      </c>
      <c r="I884" t="str">
        <f>("QA76.76 D676 2001")</f>
        <v>QA76.76 D676 2001</v>
      </c>
      <c r="J884" t="str">
        <f>("0130868264")</f>
        <v>0130868264</v>
      </c>
      <c r="K884" t="str">
        <f>("1498")</f>
        <v>1498</v>
      </c>
      <c r="L884" t="str">
        <f t="shared" si="355"/>
        <v>2001/10/10 00:00:00</v>
      </c>
      <c r="M884" t="str">
        <f t="shared" ref="M884:M893" si="368">("2018/08/11 13:35:01")</f>
        <v>2018/08/11 13:35:01</v>
      </c>
      <c r="N884" t="str">
        <f>("2001")</f>
        <v>2001</v>
      </c>
      <c r="O884" t="str">
        <f t="shared" si="363"/>
        <v>4F西文書庫 4F Western Language Books</v>
      </c>
      <c r="P884" t="s">
        <v>64</v>
      </c>
      <c r="S884" t="str">
        <f>("xxxv, 745 p. : ")</f>
        <v xml:space="preserve">xxxv, 745 p. : </v>
      </c>
      <c r="T884" t="str">
        <f>("ill. ; ")</f>
        <v xml:space="preserve">ill. ; </v>
      </c>
      <c r="U884" t="str">
        <f>("26 cm. ")</f>
        <v xml:space="preserve">26 cm. </v>
      </c>
      <c r="W884" t="str">
        <f t="shared" si="339"/>
        <v>美國國會圖書分類法</v>
      </c>
      <c r="Y884" t="str">
        <f>("QA76.76")</f>
        <v>QA76.76</v>
      </c>
      <c r="Z884" t="str">
        <f t="shared" ref="Z884:Z894" si="369">("2018/08/11 13:35:01")</f>
        <v>2018/08/11 13:35:01</v>
      </c>
      <c r="AA884" t="str">
        <f t="shared" si="348"/>
        <v>catc</v>
      </c>
      <c r="AC884" t="str">
        <f>("D676")</f>
        <v>D676</v>
      </c>
      <c r="AE884" t="str">
        <f t="shared" si="364"/>
        <v>c.1</v>
      </c>
      <c r="AF884" t="str">
        <f t="shared" si="365"/>
        <v>1.可借圖書</v>
      </c>
      <c r="AG884" t="str">
        <f t="shared" si="366"/>
        <v>在架</v>
      </c>
      <c r="AI884" t="s">
        <v>65</v>
      </c>
      <c r="AK884" t="str">
        <f t="shared" si="349"/>
        <v>一般(Normal)</v>
      </c>
      <c r="AO884" t="s">
        <v>65</v>
      </c>
      <c r="AS884" t="str">
        <f>("c2001. ")</f>
        <v xml:space="preserve">c2001. </v>
      </c>
      <c r="AT884" t="str">
        <f t="shared" si="350"/>
        <v>catc</v>
      </c>
    </row>
    <row r="885" spans="1:46" x14ac:dyDescent="0.25">
      <c r="A885">
        <v>874</v>
      </c>
      <c r="B885" t="str">
        <f>("289709")</f>
        <v>289709</v>
      </c>
      <c r="C885" t="str">
        <f>("W00002910")</f>
        <v>W00002910</v>
      </c>
      <c r="D885" t="str">
        <f>("Build your own home network /")</f>
        <v>Build your own home network /</v>
      </c>
      <c r="E885" t="str">
        <f>("Gilster, Ron ")</f>
        <v xml:space="preserve">Gilster, Ron </v>
      </c>
      <c r="F885" t="str">
        <f>("Osborne McGraw-Hill,")</f>
        <v>Osborne McGraw-Hill,</v>
      </c>
      <c r="H885" t="str">
        <f t="shared" si="367"/>
        <v>圖書 book</v>
      </c>
      <c r="I885" t="str">
        <f>("TK5105.7 G463 2000")</f>
        <v>TK5105.7 G463 2000</v>
      </c>
      <c r="J885" t="str">
        <f>("0072124660")</f>
        <v>0072124660</v>
      </c>
      <c r="K885" t="str">
        <f>("704")</f>
        <v>704</v>
      </c>
      <c r="L885" t="str">
        <f t="shared" si="355"/>
        <v>2001/10/10 00:00:00</v>
      </c>
      <c r="M885" t="str">
        <f t="shared" si="368"/>
        <v>2018/08/11 13:35:01</v>
      </c>
      <c r="N885" t="str">
        <f>("2000")</f>
        <v>2000</v>
      </c>
      <c r="O885" t="str">
        <f t="shared" si="363"/>
        <v>4F西文書庫 4F Western Language Books</v>
      </c>
      <c r="P885" t="s">
        <v>64</v>
      </c>
      <c r="W885" t="str">
        <f t="shared" ref="W885:W948" si="370">("美國國會圖書分類法")</f>
        <v>美國國會圖書分類法</v>
      </c>
      <c r="Y885" t="str">
        <f>("TK5105.7")</f>
        <v>TK5105.7</v>
      </c>
      <c r="Z885" t="str">
        <f t="shared" si="369"/>
        <v>2018/08/11 13:35:01</v>
      </c>
      <c r="AA885" t="str">
        <f t="shared" si="348"/>
        <v>catc</v>
      </c>
      <c r="AC885" t="str">
        <f>("G463")</f>
        <v>G463</v>
      </c>
      <c r="AE885" t="str">
        <f t="shared" si="364"/>
        <v>c.1</v>
      </c>
      <c r="AF885" t="str">
        <f t="shared" si="365"/>
        <v>1.可借圖書</v>
      </c>
      <c r="AG885" t="str">
        <f t="shared" si="366"/>
        <v>在架</v>
      </c>
      <c r="AI885" t="s">
        <v>65</v>
      </c>
      <c r="AK885" t="str">
        <f t="shared" si="349"/>
        <v>一般(Normal)</v>
      </c>
      <c r="AO885" t="s">
        <v>65</v>
      </c>
      <c r="AS885" t="str">
        <f>("c2000 ")</f>
        <v xml:space="preserve">c2000 </v>
      </c>
      <c r="AT885" t="str">
        <f t="shared" si="350"/>
        <v>catc</v>
      </c>
    </row>
    <row r="886" spans="1:46" x14ac:dyDescent="0.25">
      <c r="A886">
        <v>875</v>
      </c>
      <c r="B886" t="str">
        <f>("289710")</f>
        <v>289710</v>
      </c>
      <c r="C886" t="str">
        <f>("W00002911")</f>
        <v>W00002911</v>
      </c>
      <c r="D886" t="str">
        <f>("Palm OS programming from the ground up / ")</f>
        <v xml:space="preserve">Palm OS programming from the ground up / </v>
      </c>
      <c r="E886" t="str">
        <f>("Mykland, Robert. ")</f>
        <v xml:space="preserve">Mykland, Robert. </v>
      </c>
      <c r="F886" t="str">
        <f>("Osborne/McGraw-Hill, ")</f>
        <v xml:space="preserve">Osborne/McGraw-Hill, </v>
      </c>
      <c r="H886" t="str">
        <f t="shared" si="367"/>
        <v>圖書 book</v>
      </c>
      <c r="I886" t="str">
        <f>("QA76.8 M995 2000")</f>
        <v>QA76.8 M995 2000</v>
      </c>
      <c r="J886" t="str">
        <f>("0072121521")</f>
        <v>0072121521</v>
      </c>
      <c r="K886" t="str">
        <f>("984")</f>
        <v>984</v>
      </c>
      <c r="L886" t="str">
        <f t="shared" si="355"/>
        <v>2001/10/10 00:00:00</v>
      </c>
      <c r="M886" t="str">
        <f t="shared" si="368"/>
        <v>2018/08/11 13:35:01</v>
      </c>
      <c r="N886" t="str">
        <f>("2000")</f>
        <v>2000</v>
      </c>
      <c r="O886" t="str">
        <f t="shared" si="363"/>
        <v>4F西文書庫 4F Western Language Books</v>
      </c>
      <c r="P886" t="s">
        <v>64</v>
      </c>
      <c r="W886" t="str">
        <f t="shared" si="370"/>
        <v>美國國會圖書分類法</v>
      </c>
      <c r="Y886" t="str">
        <f>("QA76.8")</f>
        <v>QA76.8</v>
      </c>
      <c r="Z886" t="str">
        <f t="shared" si="369"/>
        <v>2018/08/11 13:35:01</v>
      </c>
      <c r="AA886" t="str">
        <f t="shared" si="348"/>
        <v>catc</v>
      </c>
      <c r="AC886" t="str">
        <f>("M995")</f>
        <v>M995</v>
      </c>
      <c r="AE886" t="str">
        <f t="shared" si="364"/>
        <v>c.1</v>
      </c>
      <c r="AF886" t="str">
        <f t="shared" si="365"/>
        <v>1.可借圖書</v>
      </c>
      <c r="AG886" t="str">
        <f t="shared" si="366"/>
        <v>在架</v>
      </c>
      <c r="AI886" t="s">
        <v>65</v>
      </c>
      <c r="AK886" t="str">
        <f t="shared" si="349"/>
        <v>一般(Normal)</v>
      </c>
      <c r="AO886" t="s">
        <v>65</v>
      </c>
      <c r="AS886" t="str">
        <f>("c2000. ")</f>
        <v xml:space="preserve">c2000. </v>
      </c>
      <c r="AT886" t="str">
        <f t="shared" si="350"/>
        <v>catc</v>
      </c>
    </row>
    <row r="887" spans="1:46" x14ac:dyDescent="0.25">
      <c r="A887">
        <v>876</v>
      </c>
      <c r="B887" t="str">
        <f>("289711")</f>
        <v>289711</v>
      </c>
      <c r="C887" t="str">
        <f>("W00002912")</f>
        <v>W00002912</v>
      </c>
      <c r="D887" t="str">
        <f>("Managing software requirements : a unified approach / ")</f>
        <v xml:space="preserve">Managing software requirements : a unified approach / </v>
      </c>
      <c r="E887" t="str">
        <f>("Leffingwell, Dean. ")</f>
        <v xml:space="preserve">Leffingwell, Dean. </v>
      </c>
      <c r="F887" t="str">
        <f>("Addison-Wesley, ")</f>
        <v xml:space="preserve">Addison-Wesley, </v>
      </c>
      <c r="H887" t="str">
        <f t="shared" si="367"/>
        <v>圖書 book</v>
      </c>
      <c r="I887" t="str">
        <f>("QA76.76 L488 2000")</f>
        <v>QA76.76 L488 2000</v>
      </c>
      <c r="J887" t="str">
        <f>("0201615932")</f>
        <v>0201615932</v>
      </c>
      <c r="K887" t="str">
        <f>("1400")</f>
        <v>1400</v>
      </c>
      <c r="L887" t="str">
        <f t="shared" si="355"/>
        <v>2001/10/10 00:00:00</v>
      </c>
      <c r="M887" t="str">
        <f t="shared" si="368"/>
        <v>2018/08/11 13:35:01</v>
      </c>
      <c r="N887" t="str">
        <f>("2000")</f>
        <v>2000</v>
      </c>
      <c r="O887" t="str">
        <f t="shared" si="363"/>
        <v>4F西文書庫 4F Western Language Books</v>
      </c>
      <c r="P887" t="s">
        <v>64</v>
      </c>
      <c r="W887" t="str">
        <f t="shared" si="370"/>
        <v>美國國會圖書分類法</v>
      </c>
      <c r="Y887" t="str">
        <f>("QA76.76")</f>
        <v>QA76.76</v>
      </c>
      <c r="Z887" t="str">
        <f t="shared" si="369"/>
        <v>2018/08/11 13:35:01</v>
      </c>
      <c r="AA887" t="str">
        <f t="shared" si="348"/>
        <v>catc</v>
      </c>
      <c r="AC887" t="str">
        <f>("L488")</f>
        <v>L488</v>
      </c>
      <c r="AE887" t="str">
        <f t="shared" si="364"/>
        <v>c.1</v>
      </c>
      <c r="AF887" t="str">
        <f t="shared" si="365"/>
        <v>1.可借圖書</v>
      </c>
      <c r="AG887" t="str">
        <f t="shared" si="366"/>
        <v>在架</v>
      </c>
      <c r="AI887" t="s">
        <v>65</v>
      </c>
      <c r="AK887" t="str">
        <f t="shared" si="349"/>
        <v>一般(Normal)</v>
      </c>
      <c r="AO887" t="s">
        <v>65</v>
      </c>
      <c r="AS887" t="str">
        <f>("c2000. ")</f>
        <v xml:space="preserve">c2000. </v>
      </c>
      <c r="AT887" t="str">
        <f t="shared" si="350"/>
        <v>catc</v>
      </c>
    </row>
    <row r="888" spans="1:46" x14ac:dyDescent="0.25">
      <c r="A888">
        <v>877</v>
      </c>
      <c r="B888" t="str">
        <f>("289712")</f>
        <v>289712</v>
      </c>
      <c r="C888" t="str">
        <f>("W00002913")</f>
        <v>W00002913</v>
      </c>
      <c r="D888" t="str">
        <f>("Creating and implementing virtual private networks / ")</f>
        <v xml:space="preserve">Creating and implementing virtual private networks / </v>
      </c>
      <c r="E888" t="str">
        <f>("Wilson, Casey. ")</f>
        <v xml:space="preserve">Wilson, Casey. </v>
      </c>
      <c r="F888" t="str">
        <f>("Coriolis, ")</f>
        <v xml:space="preserve">Coriolis, </v>
      </c>
      <c r="H888" t="str">
        <f t="shared" si="367"/>
        <v>圖書 book</v>
      </c>
      <c r="I888" t="str">
        <f>("TK5105.875.E87 W747 2000")</f>
        <v>TK5105.875.E87 W747 2000</v>
      </c>
      <c r="J888" t="str">
        <f>("1576104303")</f>
        <v>1576104303</v>
      </c>
      <c r="K888" t="str">
        <f>("1120")</f>
        <v>1120</v>
      </c>
      <c r="L888" t="str">
        <f t="shared" si="355"/>
        <v>2001/10/10 00:00:00</v>
      </c>
      <c r="M888" t="str">
        <f t="shared" si="368"/>
        <v>2018/08/11 13:35:01</v>
      </c>
      <c r="N888" t="str">
        <f>("2000")</f>
        <v>2000</v>
      </c>
      <c r="O888" t="str">
        <f t="shared" si="363"/>
        <v>4F西文書庫 4F Western Language Books</v>
      </c>
      <c r="P888" t="s">
        <v>64</v>
      </c>
      <c r="W888" t="str">
        <f t="shared" si="370"/>
        <v>美國國會圖書分類法</v>
      </c>
      <c r="Y888" t="str">
        <f>("TK5105.875.E87")</f>
        <v>TK5105.875.E87</v>
      </c>
      <c r="Z888" t="str">
        <f t="shared" si="369"/>
        <v>2018/08/11 13:35:01</v>
      </c>
      <c r="AA888" t="str">
        <f t="shared" si="348"/>
        <v>catc</v>
      </c>
      <c r="AC888" t="str">
        <f>("W747")</f>
        <v>W747</v>
      </c>
      <c r="AE888" t="str">
        <f t="shared" si="364"/>
        <v>c.1</v>
      </c>
      <c r="AF888" t="str">
        <f t="shared" si="365"/>
        <v>1.可借圖書</v>
      </c>
      <c r="AG888" t="str">
        <f t="shared" si="366"/>
        <v>在架</v>
      </c>
      <c r="AI888" t="s">
        <v>65</v>
      </c>
      <c r="AK888" t="str">
        <f t="shared" si="349"/>
        <v>一般(Normal)</v>
      </c>
      <c r="AO888" t="s">
        <v>65</v>
      </c>
      <c r="AS888" t="str">
        <f>("2000. ")</f>
        <v xml:space="preserve">2000. </v>
      </c>
      <c r="AT888" t="str">
        <f t="shared" si="350"/>
        <v>catc</v>
      </c>
    </row>
    <row r="889" spans="1:46" x14ac:dyDescent="0.25">
      <c r="A889">
        <v>878</v>
      </c>
      <c r="B889" t="str">
        <f>("289713")</f>
        <v>289713</v>
      </c>
      <c r="C889" t="str">
        <f>("W00002914")</f>
        <v>W00002914</v>
      </c>
      <c r="D889" t="str">
        <f>("A practical guide to Solaris / ")</f>
        <v xml:space="preserve">A practical guide to Solaris / </v>
      </c>
      <c r="E889" t="str">
        <f>("Sobell, Mark G. ")</f>
        <v xml:space="preserve">Sobell, Mark G. </v>
      </c>
      <c r="F889" t="str">
        <f>("Addison-Wesley, ")</f>
        <v xml:space="preserve">Addison-Wesley, </v>
      </c>
      <c r="H889" t="str">
        <f t="shared" si="367"/>
        <v>圖書 book</v>
      </c>
      <c r="I889" t="str">
        <f>("QA76.76.O63 S677 1999")</f>
        <v>QA76.76.O63 S677 1999</v>
      </c>
      <c r="J889" t="str">
        <f>("020189548X")</f>
        <v>020189548X</v>
      </c>
      <c r="K889" t="str">
        <f>("1040")</f>
        <v>1040</v>
      </c>
      <c r="L889" t="str">
        <f t="shared" si="355"/>
        <v>2001/10/10 00:00:00</v>
      </c>
      <c r="M889" t="str">
        <f t="shared" si="368"/>
        <v>2018/08/11 13:35:01</v>
      </c>
      <c r="N889" t="str">
        <f>("1999")</f>
        <v>1999</v>
      </c>
      <c r="O889" t="str">
        <f t="shared" si="363"/>
        <v>4F西文書庫 4F Western Language Books</v>
      </c>
      <c r="P889" t="s">
        <v>64</v>
      </c>
      <c r="W889" t="str">
        <f t="shared" si="370"/>
        <v>美國國會圖書分類法</v>
      </c>
      <c r="Y889" t="str">
        <f>("QA76.76.O63")</f>
        <v>QA76.76.O63</v>
      </c>
      <c r="Z889" t="str">
        <f t="shared" si="369"/>
        <v>2018/08/11 13:35:01</v>
      </c>
      <c r="AA889" t="str">
        <f t="shared" si="348"/>
        <v>catc</v>
      </c>
      <c r="AC889" t="str">
        <f>("S677")</f>
        <v>S677</v>
      </c>
      <c r="AE889" t="str">
        <f t="shared" si="364"/>
        <v>c.1</v>
      </c>
      <c r="AF889" t="str">
        <f t="shared" si="365"/>
        <v>1.可借圖書</v>
      </c>
      <c r="AG889" t="str">
        <f t="shared" si="366"/>
        <v>在架</v>
      </c>
      <c r="AI889" t="s">
        <v>65</v>
      </c>
      <c r="AK889" t="str">
        <f t="shared" si="349"/>
        <v>一般(Normal)</v>
      </c>
      <c r="AO889" t="s">
        <v>65</v>
      </c>
      <c r="AS889" t="str">
        <f>("c1999. ")</f>
        <v xml:space="preserve">c1999. </v>
      </c>
      <c r="AT889" t="str">
        <f t="shared" si="350"/>
        <v>catc</v>
      </c>
    </row>
    <row r="890" spans="1:46" x14ac:dyDescent="0.25">
      <c r="A890">
        <v>879</v>
      </c>
      <c r="B890" t="str">
        <f>("289714")</f>
        <v>289714</v>
      </c>
      <c r="C890" t="str">
        <f>("W00002915")</f>
        <v>W00002915</v>
      </c>
      <c r="D890" t="str">
        <f>("Linux administration : a beginner's guide / ")</f>
        <v xml:space="preserve">Linux administration : a beginner's guide / </v>
      </c>
      <c r="E890" t="str">
        <f>("Shah, Steve. ")</f>
        <v xml:space="preserve">Shah, Steve. </v>
      </c>
      <c r="F890" t="str">
        <f>("Osborne/McGraw-Hill, ")</f>
        <v xml:space="preserve">Osborne/McGraw-Hill, </v>
      </c>
      <c r="G890" t="str">
        <f>("2nd ed. ")</f>
        <v xml:space="preserve">2nd ed. </v>
      </c>
      <c r="H890" t="str">
        <f t="shared" si="367"/>
        <v>圖書 book</v>
      </c>
      <c r="I890" t="str">
        <f>("QA76.76.O63 S524 2001")</f>
        <v>QA76.76.O63 S524 2001</v>
      </c>
      <c r="J890" t="str">
        <f>("0072131365")</f>
        <v>0072131365</v>
      </c>
      <c r="K890" t="str">
        <f>("1120")</f>
        <v>1120</v>
      </c>
      <c r="L890" t="str">
        <f t="shared" si="355"/>
        <v>2001/10/10 00:00:00</v>
      </c>
      <c r="M890" t="str">
        <f t="shared" si="368"/>
        <v>2018/08/11 13:35:01</v>
      </c>
      <c r="N890" t="str">
        <f>("2001")</f>
        <v>2001</v>
      </c>
      <c r="O890" t="str">
        <f t="shared" si="363"/>
        <v>4F西文書庫 4F Western Language Books</v>
      </c>
      <c r="P890" t="s">
        <v>64</v>
      </c>
      <c r="W890" t="str">
        <f t="shared" si="370"/>
        <v>美國國會圖書分類法</v>
      </c>
      <c r="Y890" t="str">
        <f>("QA76.76.O63")</f>
        <v>QA76.76.O63</v>
      </c>
      <c r="Z890" t="str">
        <f t="shared" si="369"/>
        <v>2018/08/11 13:35:01</v>
      </c>
      <c r="AA890" t="str">
        <f t="shared" si="348"/>
        <v>catc</v>
      </c>
      <c r="AC890" t="str">
        <f>("S524")</f>
        <v>S524</v>
      </c>
      <c r="AE890" t="str">
        <f t="shared" si="364"/>
        <v>c.1</v>
      </c>
      <c r="AF890" t="str">
        <f t="shared" si="365"/>
        <v>1.可借圖書</v>
      </c>
      <c r="AG890" t="str">
        <f t="shared" si="366"/>
        <v>在架</v>
      </c>
      <c r="AI890" t="s">
        <v>65</v>
      </c>
      <c r="AK890" t="str">
        <f t="shared" si="349"/>
        <v>一般(Normal)</v>
      </c>
      <c r="AO890" t="s">
        <v>65</v>
      </c>
      <c r="AS890" t="str">
        <f>("c2001. ")</f>
        <v xml:space="preserve">c2001. </v>
      </c>
      <c r="AT890" t="str">
        <f t="shared" si="350"/>
        <v>catc</v>
      </c>
    </row>
    <row r="891" spans="1:46" x14ac:dyDescent="0.25">
      <c r="A891">
        <v>880</v>
      </c>
      <c r="B891" t="str">
        <f>("289723")</f>
        <v>289723</v>
      </c>
      <c r="C891" t="str">
        <f>("W00002916")</f>
        <v>W00002916</v>
      </c>
      <c r="D891" t="str">
        <f>("Generative programming : methods, tools, and applications / ")</f>
        <v xml:space="preserve">Generative programming : methods, tools, and applications / </v>
      </c>
      <c r="E891" t="str">
        <f>("Czarnecki, Krzysztof. ")</f>
        <v xml:space="preserve">Czarnecki, Krzysztof. </v>
      </c>
      <c r="F891" t="str">
        <f>("Addison Wesley, ")</f>
        <v xml:space="preserve">Addison Wesley, </v>
      </c>
      <c r="H891" t="str">
        <f t="shared" si="367"/>
        <v>圖書 book</v>
      </c>
      <c r="I891" t="str">
        <f>("QA76.624 C998 2000")</f>
        <v>QA76.624 C998 2000</v>
      </c>
      <c r="J891" t="str">
        <f>("0201309777")</f>
        <v>0201309777</v>
      </c>
      <c r="K891" t="str">
        <f>("1264")</f>
        <v>1264</v>
      </c>
      <c r="L891" t="str">
        <f t="shared" si="355"/>
        <v>2001/10/10 00:00:00</v>
      </c>
      <c r="M891" t="str">
        <f t="shared" si="368"/>
        <v>2018/08/11 13:35:01</v>
      </c>
      <c r="N891" t="str">
        <f>("2000")</f>
        <v>2000</v>
      </c>
      <c r="O891" t="str">
        <f t="shared" si="363"/>
        <v>4F西文書庫 4F Western Language Books</v>
      </c>
      <c r="P891" t="s">
        <v>64</v>
      </c>
      <c r="S891" t="str">
        <f>("xxvi, 832 p. : ")</f>
        <v xml:space="preserve">xxvi, 832 p. : </v>
      </c>
      <c r="T891" t="str">
        <f>("ill. ; ")</f>
        <v xml:space="preserve">ill. ; </v>
      </c>
      <c r="U891" t="str">
        <f>("23 cm. ")</f>
        <v xml:space="preserve">23 cm. </v>
      </c>
      <c r="W891" t="str">
        <f t="shared" si="370"/>
        <v>美國國會圖書分類法</v>
      </c>
      <c r="Y891" t="str">
        <f>("QA76.624")</f>
        <v>QA76.624</v>
      </c>
      <c r="Z891" t="str">
        <f t="shared" si="369"/>
        <v>2018/08/11 13:35:01</v>
      </c>
      <c r="AA891" t="str">
        <f t="shared" si="348"/>
        <v>catc</v>
      </c>
      <c r="AC891" t="str">
        <f>("C998")</f>
        <v>C998</v>
      </c>
      <c r="AE891" t="str">
        <f t="shared" si="364"/>
        <v>c.1</v>
      </c>
      <c r="AF891" t="str">
        <f t="shared" si="365"/>
        <v>1.可借圖書</v>
      </c>
      <c r="AG891" t="str">
        <f t="shared" si="366"/>
        <v>在架</v>
      </c>
      <c r="AI891" t="s">
        <v>65</v>
      </c>
      <c r="AK891" t="str">
        <f t="shared" si="349"/>
        <v>一般(Normal)</v>
      </c>
      <c r="AO891" t="s">
        <v>65</v>
      </c>
      <c r="AS891" t="str">
        <f>("c2000. ")</f>
        <v xml:space="preserve">c2000. </v>
      </c>
      <c r="AT891" t="str">
        <f t="shared" si="350"/>
        <v>catc</v>
      </c>
    </row>
    <row r="892" spans="1:46" x14ac:dyDescent="0.25">
      <c r="A892">
        <v>881</v>
      </c>
      <c r="B892" t="str">
        <f>("289724")</f>
        <v>289724</v>
      </c>
      <c r="C892" t="str">
        <f>("W00002917")</f>
        <v>W00002917</v>
      </c>
      <c r="D892" t="str">
        <f>("Server scripts with Visual JavaScript / ")</f>
        <v xml:space="preserve">Server scripts with Visual JavaScript / </v>
      </c>
      <c r="E892" t="str">
        <f>("Rahmel, Dan. ")</f>
        <v xml:space="preserve">Rahmel, Dan. </v>
      </c>
      <c r="F892" t="str">
        <f>("McGraw-Hill, ")</f>
        <v xml:space="preserve">McGraw-Hill, </v>
      </c>
      <c r="H892" t="str">
        <f t="shared" si="367"/>
        <v>圖書 book</v>
      </c>
      <c r="I892" t="str">
        <f>("QA76.73.J38 R147 1998")</f>
        <v>QA76.73.J38 R147 1998</v>
      </c>
      <c r="J892" t="str">
        <f>("007913694X")</f>
        <v>007913694X</v>
      </c>
      <c r="K892" t="str">
        <f>("1120")</f>
        <v>1120</v>
      </c>
      <c r="L892" t="str">
        <f t="shared" si="355"/>
        <v>2001/10/10 00:00:00</v>
      </c>
      <c r="M892" t="str">
        <f t="shared" si="368"/>
        <v>2018/08/11 13:35:01</v>
      </c>
      <c r="N892" t="str">
        <f>("1998")</f>
        <v>1998</v>
      </c>
      <c r="O892" t="str">
        <f t="shared" si="363"/>
        <v>4F西文書庫 4F Western Language Books</v>
      </c>
      <c r="P892" t="s">
        <v>64</v>
      </c>
      <c r="W892" t="str">
        <f t="shared" si="370"/>
        <v>美國國會圖書分類法</v>
      </c>
      <c r="Y892" t="str">
        <f>("QA76.73.J38")</f>
        <v>QA76.73.J38</v>
      </c>
      <c r="Z892" t="str">
        <f t="shared" si="369"/>
        <v>2018/08/11 13:35:01</v>
      </c>
      <c r="AA892" t="str">
        <f t="shared" si="348"/>
        <v>catc</v>
      </c>
      <c r="AC892" t="str">
        <f>("R147")</f>
        <v>R147</v>
      </c>
      <c r="AE892" t="str">
        <f t="shared" si="364"/>
        <v>c.1</v>
      </c>
      <c r="AF892" t="str">
        <f t="shared" si="365"/>
        <v>1.可借圖書</v>
      </c>
      <c r="AG892" t="str">
        <f t="shared" si="366"/>
        <v>在架</v>
      </c>
      <c r="AI892" t="s">
        <v>65</v>
      </c>
      <c r="AK892" t="str">
        <f t="shared" si="349"/>
        <v>一般(Normal)</v>
      </c>
      <c r="AO892" t="s">
        <v>65</v>
      </c>
      <c r="AS892" t="str">
        <f>("1998. ")</f>
        <v xml:space="preserve">1998. </v>
      </c>
      <c r="AT892" t="str">
        <f t="shared" si="350"/>
        <v>catc</v>
      </c>
    </row>
    <row r="893" spans="1:46" x14ac:dyDescent="0.25">
      <c r="A893">
        <v>882</v>
      </c>
      <c r="B893" t="str">
        <f>("289725")</f>
        <v>289725</v>
      </c>
      <c r="C893" t="str">
        <f>("W00002918")</f>
        <v>W00002918</v>
      </c>
      <c r="D893" t="str">
        <f>("Cisco catalyst LAN switching / ")</f>
        <v xml:space="preserve">Cisco catalyst LAN switching / </v>
      </c>
      <c r="E893" t="str">
        <f>("Rossi, Louis R. 1970- ")</f>
        <v xml:space="preserve">Rossi, Louis R. 1970- </v>
      </c>
      <c r="F893" t="str">
        <f>("McGraw-Hill, ")</f>
        <v xml:space="preserve">McGraw-Hill, </v>
      </c>
      <c r="H893" t="str">
        <f t="shared" si="367"/>
        <v>圖書 book</v>
      </c>
      <c r="I893" t="str">
        <f>("TK5105.7 R831 1999")</f>
        <v>TK5105.7 R831 1999</v>
      </c>
      <c r="J893" t="str">
        <f>("0071349820")</f>
        <v>0071349820</v>
      </c>
      <c r="K893" t="str">
        <f>("1498")</f>
        <v>1498</v>
      </c>
      <c r="L893" t="str">
        <f t="shared" si="355"/>
        <v>2001/10/10 00:00:00</v>
      </c>
      <c r="M893" t="str">
        <f t="shared" si="368"/>
        <v>2018/08/11 13:35:01</v>
      </c>
      <c r="N893" t="str">
        <f>("1999")</f>
        <v>1999</v>
      </c>
      <c r="O893" t="str">
        <f t="shared" si="363"/>
        <v>4F西文書庫 4F Western Language Books</v>
      </c>
      <c r="P893" t="s">
        <v>64</v>
      </c>
      <c r="W893" t="str">
        <f t="shared" si="370"/>
        <v>美國國會圖書分類法</v>
      </c>
      <c r="Y893" t="str">
        <f>("TK5105.7")</f>
        <v>TK5105.7</v>
      </c>
      <c r="Z893" t="str">
        <f t="shared" si="369"/>
        <v>2018/08/11 13:35:01</v>
      </c>
      <c r="AA893" t="str">
        <f t="shared" si="348"/>
        <v>catc</v>
      </c>
      <c r="AC893" t="str">
        <f>("R831")</f>
        <v>R831</v>
      </c>
      <c r="AE893" t="str">
        <f t="shared" si="364"/>
        <v>c.1</v>
      </c>
      <c r="AF893" t="str">
        <f t="shared" si="365"/>
        <v>1.可借圖書</v>
      </c>
      <c r="AG893" t="str">
        <f t="shared" si="366"/>
        <v>在架</v>
      </c>
      <c r="AI893" t="s">
        <v>65</v>
      </c>
      <c r="AK893" t="str">
        <f t="shared" si="349"/>
        <v>一般(Normal)</v>
      </c>
      <c r="AO893" t="s">
        <v>65</v>
      </c>
      <c r="AS893" t="str">
        <f>("c2000. ")</f>
        <v xml:space="preserve">c2000. </v>
      </c>
      <c r="AT893" t="str">
        <f t="shared" si="350"/>
        <v>catc</v>
      </c>
    </row>
    <row r="894" spans="1:46" x14ac:dyDescent="0.25">
      <c r="A894">
        <v>883</v>
      </c>
      <c r="B894" t="str">
        <f>("289726")</f>
        <v>289726</v>
      </c>
      <c r="C894" t="str">
        <f>("W00002919")</f>
        <v>W00002919</v>
      </c>
      <c r="D894" t="str">
        <f>("Big book of Internet file transfer RFCs / ")</f>
        <v xml:space="preserve">Big book of Internet file transfer RFCs / </v>
      </c>
      <c r="E894" t="str">
        <f>("Loshin, Peter. ")</f>
        <v xml:space="preserve">Loshin, Peter. </v>
      </c>
      <c r="F894" t="str">
        <f>("Morgan Kaufmann, ")</f>
        <v xml:space="preserve">Morgan Kaufmann, </v>
      </c>
      <c r="H894" t="str">
        <f t="shared" si="367"/>
        <v>圖書 book</v>
      </c>
      <c r="I894" t="str">
        <f>("TK5105.8885 L879 2000")</f>
        <v>TK5105.8885 L879 2000</v>
      </c>
      <c r="J894" t="str">
        <f>("0124558453")</f>
        <v>0124558453</v>
      </c>
      <c r="K894" t="str">
        <f>("880")</f>
        <v>880</v>
      </c>
      <c r="L894" t="str">
        <f t="shared" si="355"/>
        <v>2001/10/10 00:00:00</v>
      </c>
      <c r="M894" t="str">
        <f t="shared" ref="M894:M902" si="371">("2018/08/11 13:35:02")</f>
        <v>2018/08/11 13:35:02</v>
      </c>
      <c r="N894" t="str">
        <f>("2000")</f>
        <v>2000</v>
      </c>
      <c r="O894" t="str">
        <f t="shared" si="363"/>
        <v>4F西文書庫 4F Western Language Books</v>
      </c>
      <c r="P894" t="s">
        <v>64</v>
      </c>
      <c r="W894" t="str">
        <f t="shared" si="370"/>
        <v>美國國會圖書分類法</v>
      </c>
      <c r="Y894" t="str">
        <f>("TK5105.8885")</f>
        <v>TK5105.8885</v>
      </c>
      <c r="Z894" t="str">
        <f t="shared" si="369"/>
        <v>2018/08/11 13:35:01</v>
      </c>
      <c r="AA894" t="str">
        <f t="shared" si="348"/>
        <v>catc</v>
      </c>
      <c r="AC894" t="str">
        <f>("L879")</f>
        <v>L879</v>
      </c>
      <c r="AE894" t="str">
        <f t="shared" si="364"/>
        <v>c.1</v>
      </c>
      <c r="AF894" t="str">
        <f t="shared" si="365"/>
        <v>1.可借圖書</v>
      </c>
      <c r="AG894" t="str">
        <f t="shared" si="366"/>
        <v>在架</v>
      </c>
      <c r="AI894" t="s">
        <v>65</v>
      </c>
      <c r="AK894" t="str">
        <f t="shared" si="349"/>
        <v>一般(Normal)</v>
      </c>
      <c r="AO894" t="s">
        <v>65</v>
      </c>
      <c r="AS894" t="str">
        <f>("c2000. ")</f>
        <v xml:space="preserve">c2000. </v>
      </c>
      <c r="AT894" t="str">
        <f t="shared" si="350"/>
        <v>catc</v>
      </c>
    </row>
    <row r="895" spans="1:46" x14ac:dyDescent="0.25">
      <c r="A895">
        <v>884</v>
      </c>
      <c r="B895" t="str">
        <f>("289727")</f>
        <v>289727</v>
      </c>
      <c r="C895" t="str">
        <f>("W00002920")</f>
        <v>W00002920</v>
      </c>
      <c r="D895" t="str">
        <f>("Apache Web server administration &amp; e-commerce handbook / ")</f>
        <v xml:space="preserve">Apache Web server administration &amp; e-commerce handbook / </v>
      </c>
      <c r="E895" t="str">
        <f>("Hawkins, Scott. ")</f>
        <v xml:space="preserve">Hawkins, Scott. </v>
      </c>
      <c r="F895" t="str">
        <f>("Prentice Hall, ")</f>
        <v xml:space="preserve">Prentice Hall, </v>
      </c>
      <c r="H895" t="str">
        <f t="shared" si="367"/>
        <v>圖書 book</v>
      </c>
      <c r="I895" t="str">
        <f>("HF5548.32 H393 2001")</f>
        <v>HF5548.32 H393 2001</v>
      </c>
      <c r="J895" t="str">
        <f>("0130898732")</f>
        <v>0130898732</v>
      </c>
      <c r="K895" t="str">
        <f>("1264")</f>
        <v>1264</v>
      </c>
      <c r="L895" t="str">
        <f t="shared" si="355"/>
        <v>2001/10/10 00:00:00</v>
      </c>
      <c r="M895" t="str">
        <f t="shared" si="371"/>
        <v>2018/08/11 13:35:02</v>
      </c>
      <c r="N895" t="str">
        <f>("2001")</f>
        <v>2001</v>
      </c>
      <c r="O895" t="str">
        <f t="shared" si="363"/>
        <v>4F西文書庫 4F Western Language Books</v>
      </c>
      <c r="P895" t="s">
        <v>64</v>
      </c>
      <c r="W895" t="str">
        <f t="shared" si="370"/>
        <v>美國國會圖書分類法</v>
      </c>
      <c r="Y895" t="str">
        <f>("HF5548.32")</f>
        <v>HF5548.32</v>
      </c>
      <c r="Z895" t="str">
        <f t="shared" ref="Z895:Z903" si="372">("2018/08/11 13:35:02")</f>
        <v>2018/08/11 13:35:02</v>
      </c>
      <c r="AA895" t="str">
        <f t="shared" si="348"/>
        <v>catc</v>
      </c>
      <c r="AC895" t="str">
        <f>("H393")</f>
        <v>H393</v>
      </c>
      <c r="AE895" t="str">
        <f t="shared" si="364"/>
        <v>c.1</v>
      </c>
      <c r="AF895" t="str">
        <f t="shared" si="365"/>
        <v>1.可借圖書</v>
      </c>
      <c r="AG895" t="str">
        <f t="shared" si="366"/>
        <v>在架</v>
      </c>
      <c r="AI895" t="s">
        <v>65</v>
      </c>
      <c r="AK895" t="str">
        <f t="shared" si="349"/>
        <v>一般(Normal)</v>
      </c>
      <c r="AO895" t="s">
        <v>65</v>
      </c>
      <c r="AS895" t="str">
        <f>("c2001. ")</f>
        <v xml:space="preserve">c2001. </v>
      </c>
      <c r="AT895" t="str">
        <f t="shared" si="350"/>
        <v>catc</v>
      </c>
    </row>
    <row r="896" spans="1:46" x14ac:dyDescent="0.25">
      <c r="A896">
        <v>885</v>
      </c>
      <c r="B896" t="str">
        <f>("289715")</f>
        <v>289715</v>
      </c>
      <c r="C896" t="str">
        <f>("W00002921")</f>
        <v>W00002921</v>
      </c>
      <c r="D896" t="str">
        <f>("Metapattern : context and time in information models / ")</f>
        <v xml:space="preserve">Metapattern : context and time in information models / </v>
      </c>
      <c r="E896" t="str">
        <f>("Wisse, Pieter. ")</f>
        <v xml:space="preserve">Wisse, Pieter. </v>
      </c>
      <c r="F896" t="str">
        <f>("Addison-Wesley, ")</f>
        <v xml:space="preserve">Addison-Wesley, </v>
      </c>
      <c r="H896" t="str">
        <f t="shared" si="367"/>
        <v>圖書 book</v>
      </c>
      <c r="I896" t="str">
        <f>("QA76.9.S88 W816 2001")</f>
        <v>QA76.9.S88 W816 2001</v>
      </c>
      <c r="J896" t="str">
        <f>("0201704579")</f>
        <v>0201704579</v>
      </c>
      <c r="K896" t="str">
        <f>("1120")</f>
        <v>1120</v>
      </c>
      <c r="L896" t="str">
        <f t="shared" si="355"/>
        <v>2001/10/10 00:00:00</v>
      </c>
      <c r="M896" t="str">
        <f t="shared" si="371"/>
        <v>2018/08/11 13:35:02</v>
      </c>
      <c r="N896" t="str">
        <f>("2001")</f>
        <v>2001</v>
      </c>
      <c r="O896" t="str">
        <f t="shared" si="363"/>
        <v>4F西文書庫 4F Western Language Books</v>
      </c>
      <c r="P896" t="s">
        <v>64</v>
      </c>
      <c r="W896" t="str">
        <f t="shared" si="370"/>
        <v>美國國會圖書分類法</v>
      </c>
      <c r="Y896" t="str">
        <f>("QA76.9.S88")</f>
        <v>QA76.9.S88</v>
      </c>
      <c r="Z896" t="str">
        <f t="shared" si="372"/>
        <v>2018/08/11 13:35:02</v>
      </c>
      <c r="AA896" t="str">
        <f t="shared" si="348"/>
        <v>catc</v>
      </c>
      <c r="AC896" t="str">
        <f>("W816")</f>
        <v>W816</v>
      </c>
      <c r="AE896" t="str">
        <f t="shared" si="364"/>
        <v>c.1</v>
      </c>
      <c r="AF896" t="str">
        <f t="shared" si="365"/>
        <v>1.可借圖書</v>
      </c>
      <c r="AG896" t="str">
        <f t="shared" si="366"/>
        <v>在架</v>
      </c>
      <c r="AI896" t="s">
        <v>65</v>
      </c>
      <c r="AK896" t="str">
        <f t="shared" si="349"/>
        <v>一般(Normal)</v>
      </c>
      <c r="AO896" t="s">
        <v>65</v>
      </c>
      <c r="AS896" t="str">
        <f>("c2001. ")</f>
        <v xml:space="preserve">c2001. </v>
      </c>
      <c r="AT896" t="str">
        <f t="shared" si="350"/>
        <v>catc</v>
      </c>
    </row>
    <row r="897" spans="1:46" x14ac:dyDescent="0.25">
      <c r="A897">
        <v>886</v>
      </c>
      <c r="B897" t="str">
        <f>("289716")</f>
        <v>289716</v>
      </c>
      <c r="C897" t="str">
        <f>("W00002922")</f>
        <v>W00002922</v>
      </c>
      <c r="D897" t="str">
        <f>("Generic programming and the STL : using and extending the C++ Standard Template Library / ")</f>
        <v xml:space="preserve">Generic programming and the STL : using and extending the C++ Standard Template Library / </v>
      </c>
      <c r="E897" t="str">
        <f>("Austern, Matthew H. ")</f>
        <v xml:space="preserve">Austern, Matthew H. </v>
      </c>
      <c r="F897" t="str">
        <f>("Addison-Wesley, ")</f>
        <v xml:space="preserve">Addison-Wesley, </v>
      </c>
      <c r="H897" t="str">
        <f t="shared" si="367"/>
        <v>圖書 book</v>
      </c>
      <c r="I897" t="str">
        <f>("QA76.73.C153 A933 1999")</f>
        <v>QA76.73.C153 A933 1999</v>
      </c>
      <c r="J897" t="str">
        <f>("0201309564")</f>
        <v>0201309564</v>
      </c>
      <c r="K897" t="str">
        <f>("1400")</f>
        <v>1400</v>
      </c>
      <c r="L897" t="str">
        <f t="shared" si="355"/>
        <v>2001/10/10 00:00:00</v>
      </c>
      <c r="M897" t="str">
        <f t="shared" si="371"/>
        <v>2018/08/11 13:35:02</v>
      </c>
      <c r="N897" t="str">
        <f>("1999")</f>
        <v>1999</v>
      </c>
      <c r="O897" t="str">
        <f t="shared" si="363"/>
        <v>4F西文書庫 4F Western Language Books</v>
      </c>
      <c r="P897" t="s">
        <v>64</v>
      </c>
      <c r="W897" t="str">
        <f t="shared" si="370"/>
        <v>美國國會圖書分類法</v>
      </c>
      <c r="Y897" t="str">
        <f>("QA76.73.C153")</f>
        <v>QA76.73.C153</v>
      </c>
      <c r="Z897" t="str">
        <f t="shared" si="372"/>
        <v>2018/08/11 13:35:02</v>
      </c>
      <c r="AA897" t="str">
        <f t="shared" si="348"/>
        <v>catc</v>
      </c>
      <c r="AC897" t="str">
        <f>("A933")</f>
        <v>A933</v>
      </c>
      <c r="AE897" t="str">
        <f t="shared" si="364"/>
        <v>c.1</v>
      </c>
      <c r="AF897" t="str">
        <f t="shared" si="365"/>
        <v>1.可借圖書</v>
      </c>
      <c r="AG897" t="str">
        <f t="shared" si="366"/>
        <v>在架</v>
      </c>
      <c r="AI897" t="s">
        <v>65</v>
      </c>
      <c r="AK897" t="str">
        <f t="shared" si="349"/>
        <v>一般(Normal)</v>
      </c>
      <c r="AO897" t="s">
        <v>65</v>
      </c>
      <c r="AS897" t="str">
        <f>("c1999. ")</f>
        <v xml:space="preserve">c1999. </v>
      </c>
      <c r="AT897" t="str">
        <f t="shared" si="350"/>
        <v>catc</v>
      </c>
    </row>
    <row r="898" spans="1:46" x14ac:dyDescent="0.25">
      <c r="A898">
        <v>887</v>
      </c>
      <c r="B898" t="str">
        <f>("289717")</f>
        <v>289717</v>
      </c>
      <c r="C898" t="str">
        <f>("W00002923")</f>
        <v>W00002923</v>
      </c>
      <c r="D898" t="str">
        <f>("Core CSS  ")</f>
        <v xml:space="preserve">Core CSS  </v>
      </c>
      <c r="E898" t="str">
        <f>("Schengili-Roberts, Keith. ")</f>
        <v xml:space="preserve">Schengili-Roberts, Keith. </v>
      </c>
      <c r="F898" t="str">
        <f>("Prentice Hall PTR, ")</f>
        <v xml:space="preserve">Prentice Hall PTR, </v>
      </c>
      <c r="H898" t="str">
        <f t="shared" si="367"/>
        <v>圖書 book</v>
      </c>
      <c r="I898" t="str">
        <f>("TK5105.888 S324 2000")</f>
        <v>TK5105.888 S324 2000</v>
      </c>
      <c r="J898" t="str">
        <f>("0130834564")</f>
        <v>0130834564</v>
      </c>
      <c r="K898" t="str">
        <f>("1120")</f>
        <v>1120</v>
      </c>
      <c r="L898" t="str">
        <f t="shared" si="355"/>
        <v>2001/10/10 00:00:00</v>
      </c>
      <c r="M898" t="str">
        <f t="shared" si="371"/>
        <v>2018/08/11 13:35:02</v>
      </c>
      <c r="N898" t="str">
        <f>("2000")</f>
        <v>2000</v>
      </c>
      <c r="O898" t="str">
        <f t="shared" si="363"/>
        <v>4F西文書庫 4F Western Language Books</v>
      </c>
      <c r="P898" t="s">
        <v>64</v>
      </c>
      <c r="W898" t="str">
        <f t="shared" si="370"/>
        <v>美國國會圖書分類法</v>
      </c>
      <c r="Y898" t="str">
        <f>("TK5105.888")</f>
        <v>TK5105.888</v>
      </c>
      <c r="Z898" t="str">
        <f t="shared" si="372"/>
        <v>2018/08/11 13:35:02</v>
      </c>
      <c r="AA898" t="str">
        <f t="shared" si="348"/>
        <v>catc</v>
      </c>
      <c r="AC898" t="str">
        <f>("S324")</f>
        <v>S324</v>
      </c>
      <c r="AE898" t="str">
        <f t="shared" si="364"/>
        <v>c.1</v>
      </c>
      <c r="AF898" t="str">
        <f t="shared" si="365"/>
        <v>1.可借圖書</v>
      </c>
      <c r="AG898" t="str">
        <f t="shared" si="366"/>
        <v>在架</v>
      </c>
      <c r="AI898" t="s">
        <v>65</v>
      </c>
      <c r="AK898" t="str">
        <f t="shared" si="349"/>
        <v>一般(Normal)</v>
      </c>
      <c r="AO898" t="s">
        <v>65</v>
      </c>
      <c r="AS898" t="str">
        <f>("c2000. ")</f>
        <v xml:space="preserve">c2000. </v>
      </c>
      <c r="AT898" t="str">
        <f t="shared" si="350"/>
        <v>catc</v>
      </c>
    </row>
    <row r="899" spans="1:46" x14ac:dyDescent="0.25">
      <c r="A899">
        <v>888</v>
      </c>
      <c r="B899" t="str">
        <f>("289718")</f>
        <v>289718</v>
      </c>
      <c r="C899" t="str">
        <f>("W00002924")</f>
        <v>W00002924</v>
      </c>
      <c r="D899" t="str">
        <f>("Oracle XML handbook / ")</f>
        <v xml:space="preserve">Oracle XML handbook / </v>
      </c>
      <c r="E899" t="str">
        <f>("Chang, Ben. ")</f>
        <v xml:space="preserve">Chang, Ben. </v>
      </c>
      <c r="F899" t="str">
        <f>("Osborne/McGraw Hill, ")</f>
        <v xml:space="preserve">Osborne/McGraw Hill, </v>
      </c>
      <c r="H899" t="str">
        <f t="shared" si="367"/>
        <v>圖書 book</v>
      </c>
      <c r="I899" t="str">
        <f>("QA76.76.H94 O63 2000")</f>
        <v>QA76.76.H94 O63 2000</v>
      </c>
      <c r="J899" t="str">
        <f>("007212489X")</f>
        <v>007212489X</v>
      </c>
      <c r="K899" t="str">
        <f>("1400")</f>
        <v>1400</v>
      </c>
      <c r="L899" t="str">
        <f t="shared" si="355"/>
        <v>2001/10/10 00:00:00</v>
      </c>
      <c r="M899" t="str">
        <f t="shared" si="371"/>
        <v>2018/08/11 13:35:02</v>
      </c>
      <c r="N899" t="str">
        <f>("2000")</f>
        <v>2000</v>
      </c>
      <c r="O899" t="str">
        <f t="shared" si="363"/>
        <v>4F西文書庫 4F Western Language Books</v>
      </c>
      <c r="P899" t="s">
        <v>64</v>
      </c>
      <c r="W899" t="str">
        <f t="shared" si="370"/>
        <v>美國國會圖書分類法</v>
      </c>
      <c r="Y899" t="str">
        <f>("QA76.76.H94")</f>
        <v>QA76.76.H94</v>
      </c>
      <c r="Z899" t="str">
        <f t="shared" si="372"/>
        <v>2018/08/11 13:35:02</v>
      </c>
      <c r="AA899" t="str">
        <f t="shared" si="348"/>
        <v>catc</v>
      </c>
      <c r="AC899" t="str">
        <f>("O63")</f>
        <v>O63</v>
      </c>
      <c r="AE899" t="str">
        <f t="shared" si="364"/>
        <v>c.1</v>
      </c>
      <c r="AF899" t="str">
        <f t="shared" si="365"/>
        <v>1.可借圖書</v>
      </c>
      <c r="AG899" t="str">
        <f t="shared" si="366"/>
        <v>在架</v>
      </c>
      <c r="AI899" t="s">
        <v>65</v>
      </c>
      <c r="AK899" t="str">
        <f t="shared" si="349"/>
        <v>一般(Normal)</v>
      </c>
      <c r="AO899" t="s">
        <v>65</v>
      </c>
      <c r="AS899" t="str">
        <f>("c2000. ")</f>
        <v xml:space="preserve">c2000. </v>
      </c>
      <c r="AT899" t="str">
        <f t="shared" si="350"/>
        <v>catc</v>
      </c>
    </row>
    <row r="900" spans="1:46" x14ac:dyDescent="0.25">
      <c r="A900">
        <v>889</v>
      </c>
      <c r="B900" t="str">
        <f>("289728")</f>
        <v>289728</v>
      </c>
      <c r="C900" t="str">
        <f>("W00002925")</f>
        <v>W00002925</v>
      </c>
      <c r="D900" t="str">
        <f>("Cisco security architectures / ")</f>
        <v xml:space="preserve">Cisco security architectures / </v>
      </c>
      <c r="E900" t="str">
        <f>("Held, Gilbert, 1943- ")</f>
        <v xml:space="preserve">Held, Gilbert, 1943- </v>
      </c>
      <c r="F900" t="str">
        <f>("McGraw-Hill, ")</f>
        <v xml:space="preserve">McGraw-Hill, </v>
      </c>
      <c r="H900" t="str">
        <f t="shared" si="367"/>
        <v>圖書 book</v>
      </c>
      <c r="I900" t="str">
        <f>("TK5105.59 H474 1999")</f>
        <v>TK5105.59 H474 1999</v>
      </c>
      <c r="J900" t="str">
        <f>("0071347089")</f>
        <v>0071347089</v>
      </c>
      <c r="K900" t="str">
        <f>("1498")</f>
        <v>1498</v>
      </c>
      <c r="L900" t="str">
        <f t="shared" si="355"/>
        <v>2001/10/10 00:00:00</v>
      </c>
      <c r="M900" t="str">
        <f t="shared" si="371"/>
        <v>2018/08/11 13:35:02</v>
      </c>
      <c r="N900" t="str">
        <f>("1999")</f>
        <v>1999</v>
      </c>
      <c r="O900" t="str">
        <f t="shared" si="363"/>
        <v>4F西文書庫 4F Western Language Books</v>
      </c>
      <c r="P900" t="s">
        <v>64</v>
      </c>
      <c r="W900" t="str">
        <f t="shared" si="370"/>
        <v>美國國會圖書分類法</v>
      </c>
      <c r="Y900" t="str">
        <f>("TK5105.59")</f>
        <v>TK5105.59</v>
      </c>
      <c r="Z900" t="str">
        <f t="shared" si="372"/>
        <v>2018/08/11 13:35:02</v>
      </c>
      <c r="AA900" t="str">
        <f t="shared" si="348"/>
        <v>catc</v>
      </c>
      <c r="AC900" t="str">
        <f>("H474")</f>
        <v>H474</v>
      </c>
      <c r="AE900" t="str">
        <f t="shared" si="364"/>
        <v>c.1</v>
      </c>
      <c r="AF900" t="str">
        <f t="shared" si="365"/>
        <v>1.可借圖書</v>
      </c>
      <c r="AG900" t="str">
        <f t="shared" si="366"/>
        <v>在架</v>
      </c>
      <c r="AI900" t="s">
        <v>65</v>
      </c>
      <c r="AK900" t="str">
        <f t="shared" si="349"/>
        <v>一般(Normal)</v>
      </c>
      <c r="AO900" t="s">
        <v>65</v>
      </c>
      <c r="AS900" t="str">
        <f>("1999. ")</f>
        <v xml:space="preserve">1999. </v>
      </c>
      <c r="AT900" t="str">
        <f t="shared" si="350"/>
        <v>catc</v>
      </c>
    </row>
    <row r="901" spans="1:46" x14ac:dyDescent="0.25">
      <c r="A901">
        <v>890</v>
      </c>
      <c r="B901" t="str">
        <f>("289729")</f>
        <v>289729</v>
      </c>
      <c r="C901" t="str">
        <f>("W00002926")</f>
        <v>W00002926</v>
      </c>
      <c r="D901" t="str">
        <f>("Oracle 24x7 tips &amp; techniques / ")</f>
        <v xml:space="preserve">Oracle 24x7 tips &amp; techniques / </v>
      </c>
      <c r="E901" t="str">
        <f>("Devraj, Venkat S. ")</f>
        <v xml:space="preserve">Devraj, Venkat S. </v>
      </c>
      <c r="F901" t="str">
        <f>("Osborne/McGraw-Hill, ")</f>
        <v xml:space="preserve">Osborne/McGraw-Hill, </v>
      </c>
      <c r="H901" t="str">
        <f t="shared" si="367"/>
        <v>圖書 book</v>
      </c>
      <c r="I901" t="str">
        <f>("QA76.9.D3 D514 2000")</f>
        <v>QA76.9.D3 D514 2000</v>
      </c>
      <c r="J901" t="str">
        <f>("0072119993")</f>
        <v>0072119993</v>
      </c>
      <c r="K901" t="str">
        <f>("1400")</f>
        <v>1400</v>
      </c>
      <c r="L901" t="str">
        <f t="shared" si="355"/>
        <v>2001/10/10 00:00:00</v>
      </c>
      <c r="M901" t="str">
        <f t="shared" si="371"/>
        <v>2018/08/11 13:35:02</v>
      </c>
      <c r="N901" t="str">
        <f>("2000")</f>
        <v>2000</v>
      </c>
      <c r="O901" t="str">
        <f t="shared" si="363"/>
        <v>4F西文書庫 4F Western Language Books</v>
      </c>
      <c r="P901" t="s">
        <v>64</v>
      </c>
      <c r="W901" t="str">
        <f t="shared" si="370"/>
        <v>美國國會圖書分類法</v>
      </c>
      <c r="Y901" t="str">
        <f>("QA76.9.D3")</f>
        <v>QA76.9.D3</v>
      </c>
      <c r="Z901" t="str">
        <f t="shared" si="372"/>
        <v>2018/08/11 13:35:02</v>
      </c>
      <c r="AA901" t="str">
        <f t="shared" si="348"/>
        <v>catc</v>
      </c>
      <c r="AC901" t="str">
        <f>("D514")</f>
        <v>D514</v>
      </c>
      <c r="AE901" t="str">
        <f t="shared" si="364"/>
        <v>c.1</v>
      </c>
      <c r="AF901" t="str">
        <f t="shared" si="365"/>
        <v>1.可借圖書</v>
      </c>
      <c r="AG901" t="str">
        <f t="shared" si="366"/>
        <v>在架</v>
      </c>
      <c r="AI901" t="s">
        <v>65</v>
      </c>
      <c r="AK901" t="str">
        <f t="shared" si="349"/>
        <v>一般(Normal)</v>
      </c>
      <c r="AO901" t="s">
        <v>65</v>
      </c>
      <c r="AS901" t="str">
        <f>("c2000. ")</f>
        <v xml:space="preserve">c2000. </v>
      </c>
      <c r="AT901" t="str">
        <f t="shared" si="350"/>
        <v>catc</v>
      </c>
    </row>
    <row r="902" spans="1:46" x14ac:dyDescent="0.25">
      <c r="A902">
        <v>891</v>
      </c>
      <c r="B902" t="str">
        <f>("289730")</f>
        <v>289730</v>
      </c>
      <c r="C902" t="str">
        <f>("W00002927")</f>
        <v>W00002927</v>
      </c>
      <c r="D902" t="str">
        <f>("Oracle PL/SQL 101  ")</f>
        <v xml:space="preserve">Oracle PL/SQL 101  </v>
      </c>
      <c r="E902" t="str">
        <f>("Allen, Christopher. ")</f>
        <v xml:space="preserve">Allen, Christopher. </v>
      </c>
      <c r="F902" t="str">
        <f>("Osborne / McGraw-Hill, ")</f>
        <v xml:space="preserve">Osborne / McGraw-Hill, </v>
      </c>
      <c r="H902" t="str">
        <f t="shared" si="367"/>
        <v>圖書 book</v>
      </c>
      <c r="I902" t="str">
        <f>("QA76.73.P258 A425 2001")</f>
        <v>QA76.73.P258 A425 2001</v>
      </c>
      <c r="J902" t="str">
        <f>("007212606X")</f>
        <v>007212606X</v>
      </c>
      <c r="K902" t="str">
        <f>("1120")</f>
        <v>1120</v>
      </c>
      <c r="L902" t="str">
        <f t="shared" si="355"/>
        <v>2001/10/10 00:00:00</v>
      </c>
      <c r="M902" t="str">
        <f t="shared" si="371"/>
        <v>2018/08/11 13:35:02</v>
      </c>
      <c r="N902" t="str">
        <f>("2001")</f>
        <v>2001</v>
      </c>
      <c r="O902" t="str">
        <f t="shared" si="363"/>
        <v>4F西文書庫 4F Western Language Books</v>
      </c>
      <c r="P902" t="s">
        <v>64</v>
      </c>
      <c r="W902" t="str">
        <f t="shared" si="370"/>
        <v>美國國會圖書分類法</v>
      </c>
      <c r="Y902" t="str">
        <f>("QA76.73.P258")</f>
        <v>QA76.73.P258</v>
      </c>
      <c r="Z902" t="str">
        <f t="shared" si="372"/>
        <v>2018/08/11 13:35:02</v>
      </c>
      <c r="AA902" t="str">
        <f t="shared" si="348"/>
        <v>catc</v>
      </c>
      <c r="AC902" t="str">
        <f>("A425")</f>
        <v>A425</v>
      </c>
      <c r="AE902" t="str">
        <f t="shared" si="364"/>
        <v>c.1</v>
      </c>
      <c r="AF902" t="str">
        <f t="shared" si="365"/>
        <v>1.可借圖書</v>
      </c>
      <c r="AG902" t="str">
        <f t="shared" si="366"/>
        <v>在架</v>
      </c>
      <c r="AI902" t="s">
        <v>65</v>
      </c>
      <c r="AK902" t="str">
        <f t="shared" si="349"/>
        <v>一般(Normal)</v>
      </c>
      <c r="AO902" t="s">
        <v>65</v>
      </c>
      <c r="AS902" t="str">
        <f>("2001 ")</f>
        <v xml:space="preserve">2001 </v>
      </c>
      <c r="AT902" t="str">
        <f t="shared" si="350"/>
        <v>catc</v>
      </c>
    </row>
    <row r="903" spans="1:46" x14ac:dyDescent="0.25">
      <c r="A903">
        <v>892</v>
      </c>
      <c r="B903" t="str">
        <f>("289731")</f>
        <v>289731</v>
      </c>
      <c r="C903" t="str">
        <f>("W00002928")</f>
        <v>W00002928</v>
      </c>
      <c r="D903" t="str">
        <f>("The concise guide to Microsoft Windows 2000 DNS / ")</f>
        <v xml:space="preserve">The concise guide to Microsoft Windows 2000 DNS / </v>
      </c>
      <c r="E903" t="str">
        <f>("Collier, Bob. ")</f>
        <v xml:space="preserve">Collier, Bob. </v>
      </c>
      <c r="F903" t="str">
        <f>("Que Pub., ")</f>
        <v xml:space="preserve">Que Pub., </v>
      </c>
      <c r="H903" t="str">
        <f t="shared" si="367"/>
        <v>圖書 book</v>
      </c>
      <c r="I903" t="str">
        <f>("QA76.76.O63 C699 2000")</f>
        <v>QA76.76.O63 C699 2000</v>
      </c>
      <c r="J903" t="str">
        <f>("0789723352")</f>
        <v>0789723352</v>
      </c>
      <c r="K903" t="str">
        <f>("984")</f>
        <v>984</v>
      </c>
      <c r="L903" t="str">
        <f t="shared" si="355"/>
        <v>2001/10/10 00:00:00</v>
      </c>
      <c r="M903" t="str">
        <f t="shared" ref="M903:M913" si="373">("2018/08/11 13:35:03")</f>
        <v>2018/08/11 13:35:03</v>
      </c>
      <c r="N903" t="str">
        <f>("2000")</f>
        <v>2000</v>
      </c>
      <c r="O903" t="str">
        <f t="shared" si="363"/>
        <v>4F西文書庫 4F Western Language Books</v>
      </c>
      <c r="P903" t="s">
        <v>64</v>
      </c>
      <c r="W903" t="str">
        <f t="shared" si="370"/>
        <v>美國國會圖書分類法</v>
      </c>
      <c r="Y903" t="str">
        <f>("QA76.76.O63")</f>
        <v>QA76.76.O63</v>
      </c>
      <c r="Z903" t="str">
        <f t="shared" si="372"/>
        <v>2018/08/11 13:35:02</v>
      </c>
      <c r="AA903" t="str">
        <f t="shared" si="348"/>
        <v>catc</v>
      </c>
      <c r="AC903" t="str">
        <f>("C699")</f>
        <v>C699</v>
      </c>
      <c r="AE903" t="str">
        <f t="shared" si="364"/>
        <v>c.1</v>
      </c>
      <c r="AF903" t="str">
        <f t="shared" si="365"/>
        <v>1.可借圖書</v>
      </c>
      <c r="AG903" t="str">
        <f t="shared" si="366"/>
        <v>在架</v>
      </c>
      <c r="AI903" t="s">
        <v>65</v>
      </c>
      <c r="AK903" t="str">
        <f t="shared" si="349"/>
        <v>一般(Normal)</v>
      </c>
      <c r="AO903" t="s">
        <v>65</v>
      </c>
      <c r="AS903" t="str">
        <f>("c2000. ")</f>
        <v xml:space="preserve">c2000. </v>
      </c>
      <c r="AT903" t="str">
        <f t="shared" si="350"/>
        <v>catc</v>
      </c>
    </row>
    <row r="904" spans="1:46" x14ac:dyDescent="0.25">
      <c r="A904">
        <v>893</v>
      </c>
      <c r="B904" t="str">
        <f>("289732")</f>
        <v>289732</v>
      </c>
      <c r="C904" t="str">
        <f>("W00002929")</f>
        <v>W00002929</v>
      </c>
      <c r="D904" t="str">
        <f>("Making UNIX and windows NT talk/ ")</f>
        <v xml:space="preserve">Making UNIX and windows NT talk/ </v>
      </c>
      <c r="E904" t="str">
        <f>("Nadelson, Mark")</f>
        <v>Nadelson, Mark</v>
      </c>
      <c r="F904" t="str">
        <f>("R&amp;D Books, ")</f>
        <v xml:space="preserve">R&amp;D Books, </v>
      </c>
      <c r="H904" t="str">
        <f t="shared" si="367"/>
        <v>圖書 book</v>
      </c>
      <c r="I904" t="str">
        <f>("TK5105.8885 N134 2000")</f>
        <v>TK5105.8885 N134 2000</v>
      </c>
      <c r="J904" t="str">
        <f>("0879305843")</f>
        <v>0879305843</v>
      </c>
      <c r="K904" t="str">
        <f>("1264")</f>
        <v>1264</v>
      </c>
      <c r="L904" t="str">
        <f t="shared" si="355"/>
        <v>2001/10/10 00:00:00</v>
      </c>
      <c r="M904" t="str">
        <f t="shared" si="373"/>
        <v>2018/08/11 13:35:03</v>
      </c>
      <c r="N904" t="str">
        <f>("2000")</f>
        <v>2000</v>
      </c>
      <c r="O904" t="str">
        <f t="shared" si="363"/>
        <v>4F西文書庫 4F Western Language Books</v>
      </c>
      <c r="P904" t="s">
        <v>64</v>
      </c>
      <c r="W904" t="str">
        <f t="shared" si="370"/>
        <v>美國國會圖書分類法</v>
      </c>
      <c r="Y904" t="str">
        <f>("TK5105.8885")</f>
        <v>TK5105.8885</v>
      </c>
      <c r="Z904" t="str">
        <f t="shared" ref="Z904:Z914" si="374">("2018/08/11 13:35:03")</f>
        <v>2018/08/11 13:35:03</v>
      </c>
      <c r="AA904" t="str">
        <f t="shared" si="348"/>
        <v>catc</v>
      </c>
      <c r="AC904" t="str">
        <f>("N134")</f>
        <v>N134</v>
      </c>
      <c r="AE904" t="str">
        <f t="shared" si="364"/>
        <v>c.1</v>
      </c>
      <c r="AF904" t="str">
        <f t="shared" si="365"/>
        <v>1.可借圖書</v>
      </c>
      <c r="AG904" t="str">
        <f t="shared" si="366"/>
        <v>在架</v>
      </c>
      <c r="AI904" t="s">
        <v>65</v>
      </c>
      <c r="AK904" t="str">
        <f t="shared" si="349"/>
        <v>一般(Normal)</v>
      </c>
      <c r="AO904" t="s">
        <v>65</v>
      </c>
      <c r="AS904" t="str">
        <f>("c2000.")</f>
        <v>c2000.</v>
      </c>
      <c r="AT904" t="str">
        <f t="shared" si="350"/>
        <v>catc</v>
      </c>
    </row>
    <row r="905" spans="1:46" x14ac:dyDescent="0.25">
      <c r="A905">
        <v>894</v>
      </c>
      <c r="B905" t="str">
        <f>("289719")</f>
        <v>289719</v>
      </c>
      <c r="C905" t="str">
        <f>("W00002930")</f>
        <v>W00002930</v>
      </c>
      <c r="D905" t="str">
        <f>("Practical issues in database management : a reference for the thinking practitioner / ")</f>
        <v xml:space="preserve">Practical issues in database management : a reference for the thinking practitioner / </v>
      </c>
      <c r="E905" t="str">
        <f>("Pascal, Fabian. ")</f>
        <v xml:space="preserve">Pascal, Fabian. </v>
      </c>
      <c r="F905" t="str">
        <f>("Addison-Wesley, ")</f>
        <v xml:space="preserve">Addison-Wesley, </v>
      </c>
      <c r="H905" t="str">
        <f t="shared" si="367"/>
        <v>圖書 book</v>
      </c>
      <c r="I905" t="str">
        <f>("QA76.9.D3 P278 2000")</f>
        <v>QA76.9.D3 P278 2000</v>
      </c>
      <c r="J905" t="str">
        <f>("0201485559")</f>
        <v>0201485559</v>
      </c>
      <c r="K905" t="str">
        <f>("1120")</f>
        <v>1120</v>
      </c>
      <c r="L905" t="str">
        <f t="shared" si="355"/>
        <v>2001/10/10 00:00:00</v>
      </c>
      <c r="M905" t="str">
        <f t="shared" si="373"/>
        <v>2018/08/11 13:35:03</v>
      </c>
      <c r="N905" t="str">
        <f>("2000")</f>
        <v>2000</v>
      </c>
      <c r="O905" t="str">
        <f t="shared" si="363"/>
        <v>4F西文書庫 4F Western Language Books</v>
      </c>
      <c r="P905" t="s">
        <v>64</v>
      </c>
      <c r="W905" t="str">
        <f t="shared" si="370"/>
        <v>美國國會圖書分類法</v>
      </c>
      <c r="Y905" t="str">
        <f>("QA76.9.D3")</f>
        <v>QA76.9.D3</v>
      </c>
      <c r="Z905" t="str">
        <f t="shared" si="374"/>
        <v>2018/08/11 13:35:03</v>
      </c>
      <c r="AA905" t="str">
        <f t="shared" si="348"/>
        <v>catc</v>
      </c>
      <c r="AC905" t="str">
        <f>("P278")</f>
        <v>P278</v>
      </c>
      <c r="AE905" t="str">
        <f t="shared" si="364"/>
        <v>c.1</v>
      </c>
      <c r="AF905" t="str">
        <f t="shared" si="365"/>
        <v>1.可借圖書</v>
      </c>
      <c r="AG905" t="str">
        <f t="shared" si="366"/>
        <v>在架</v>
      </c>
      <c r="AI905" t="s">
        <v>65</v>
      </c>
      <c r="AK905" t="str">
        <f t="shared" si="349"/>
        <v>一般(Normal)</v>
      </c>
      <c r="AO905" t="s">
        <v>65</v>
      </c>
      <c r="AS905" t="str">
        <f>("2000. ")</f>
        <v xml:space="preserve">2000. </v>
      </c>
      <c r="AT905" t="str">
        <f t="shared" si="350"/>
        <v>catc</v>
      </c>
    </row>
    <row r="906" spans="1:46" x14ac:dyDescent="0.25">
      <c r="A906">
        <v>895</v>
      </c>
      <c r="B906" t="str">
        <f>("289720")</f>
        <v>289720</v>
      </c>
      <c r="C906" t="str">
        <f>("W00002931")</f>
        <v>W00002931</v>
      </c>
      <c r="D906" t="str">
        <f>("Big book of Internet host standards / ")</f>
        <v xml:space="preserve">Big book of Internet host standards / </v>
      </c>
      <c r="E906" t="str">
        <f>("Loshin, Peter. ")</f>
        <v xml:space="preserve">Loshin, Peter. </v>
      </c>
      <c r="F906" t="str">
        <f>("Morgan Kaufmann, ")</f>
        <v xml:space="preserve">Morgan Kaufmann, </v>
      </c>
      <c r="H906" t="str">
        <f t="shared" si="367"/>
        <v>圖書 book</v>
      </c>
      <c r="I906" t="str">
        <f>("TK5105.8885 L879-2 2000")</f>
        <v>TK5105.8885 L879-2 2000</v>
      </c>
      <c r="J906" t="str">
        <f>("0124558445")</f>
        <v>0124558445</v>
      </c>
      <c r="K906" t="str">
        <f>("880")</f>
        <v>880</v>
      </c>
      <c r="L906" t="str">
        <f t="shared" si="355"/>
        <v>2001/10/10 00:00:00</v>
      </c>
      <c r="M906" t="str">
        <f t="shared" si="373"/>
        <v>2018/08/11 13:35:03</v>
      </c>
      <c r="N906" t="str">
        <f>("2000")</f>
        <v>2000</v>
      </c>
      <c r="O906" t="str">
        <f t="shared" si="363"/>
        <v>4F西文書庫 4F Western Language Books</v>
      </c>
      <c r="P906" t="s">
        <v>64</v>
      </c>
      <c r="W906" t="str">
        <f t="shared" si="370"/>
        <v>美國國會圖書分類法</v>
      </c>
      <c r="Y906" t="str">
        <f>("TK5105.8885")</f>
        <v>TK5105.8885</v>
      </c>
      <c r="Z906" t="str">
        <f t="shared" si="374"/>
        <v>2018/08/11 13:35:03</v>
      </c>
      <c r="AA906" t="str">
        <f t="shared" si="348"/>
        <v>catc</v>
      </c>
      <c r="AC906" t="str">
        <f>("L879-2")</f>
        <v>L879-2</v>
      </c>
      <c r="AE906" t="str">
        <f t="shared" si="364"/>
        <v>c.1</v>
      </c>
      <c r="AF906" t="str">
        <f t="shared" si="365"/>
        <v>1.可借圖書</v>
      </c>
      <c r="AG906" t="str">
        <f t="shared" si="366"/>
        <v>在架</v>
      </c>
      <c r="AI906" t="s">
        <v>65</v>
      </c>
      <c r="AK906" t="str">
        <f t="shared" si="349"/>
        <v>一般(Normal)</v>
      </c>
      <c r="AO906" t="s">
        <v>65</v>
      </c>
      <c r="AS906" t="str">
        <f>("c2000. ")</f>
        <v xml:space="preserve">c2000. </v>
      </c>
      <c r="AT906" t="str">
        <f t="shared" si="350"/>
        <v>catc</v>
      </c>
    </row>
    <row r="907" spans="1:46" x14ac:dyDescent="0.25">
      <c r="A907">
        <v>896</v>
      </c>
      <c r="B907" t="str">
        <f>("289741")</f>
        <v>289741</v>
      </c>
      <c r="C907" t="str">
        <f>("W00002932")</f>
        <v>W00002932</v>
      </c>
      <c r="D907" t="str">
        <f>("Accelerating customer relationships : using CRM and relationship technologies / ")</f>
        <v xml:space="preserve">Accelerating customer relationships : using CRM and relationship technologies / </v>
      </c>
      <c r="E907" t="str">
        <f>("Swift, Ronald S. ")</f>
        <v xml:space="preserve">Swift, Ronald S. </v>
      </c>
      <c r="F907" t="str">
        <f>("Prentice Hall PTR, ")</f>
        <v xml:space="preserve">Prentice Hall PTR, </v>
      </c>
      <c r="H907" t="str">
        <f t="shared" si="367"/>
        <v>圖書 book</v>
      </c>
      <c r="I907" t="str">
        <f>("HF5415.5 S977 2000")</f>
        <v>HF5415.5 S977 2000</v>
      </c>
      <c r="J907" t="str">
        <f>("0130889849")</f>
        <v>0130889849</v>
      </c>
      <c r="K907" t="str">
        <f>("984")</f>
        <v>984</v>
      </c>
      <c r="L907" t="str">
        <f t="shared" si="355"/>
        <v>2001/10/10 00:00:00</v>
      </c>
      <c r="M907" t="str">
        <f t="shared" si="373"/>
        <v>2018/08/11 13:35:03</v>
      </c>
      <c r="N907" t="str">
        <f>("2000")</f>
        <v>2000</v>
      </c>
      <c r="O907" t="str">
        <f t="shared" si="363"/>
        <v>4F西文書庫 4F Western Language Books</v>
      </c>
      <c r="P907" t="s">
        <v>64</v>
      </c>
      <c r="W907" t="str">
        <f t="shared" si="370"/>
        <v>美國國會圖書分類法</v>
      </c>
      <c r="Y907" t="str">
        <f>("HF5415.5")</f>
        <v>HF5415.5</v>
      </c>
      <c r="Z907" t="str">
        <f t="shared" si="374"/>
        <v>2018/08/11 13:35:03</v>
      </c>
      <c r="AA907" t="str">
        <f t="shared" si="348"/>
        <v>catc</v>
      </c>
      <c r="AC907" t="str">
        <f>("S977")</f>
        <v>S977</v>
      </c>
      <c r="AE907" t="str">
        <f t="shared" si="364"/>
        <v>c.1</v>
      </c>
      <c r="AF907" t="str">
        <f t="shared" si="365"/>
        <v>1.可借圖書</v>
      </c>
      <c r="AG907" t="str">
        <f t="shared" si="366"/>
        <v>在架</v>
      </c>
      <c r="AI907" t="s">
        <v>65</v>
      </c>
      <c r="AK907" t="str">
        <f t="shared" si="349"/>
        <v>一般(Normal)</v>
      </c>
      <c r="AO907" t="s">
        <v>65</v>
      </c>
      <c r="AS907" t="str">
        <f>("c2000. ")</f>
        <v xml:space="preserve">c2000. </v>
      </c>
      <c r="AT907" t="str">
        <f t="shared" si="350"/>
        <v>catc</v>
      </c>
    </row>
    <row r="908" spans="1:46" x14ac:dyDescent="0.25">
      <c r="A908">
        <v>897</v>
      </c>
      <c r="B908" t="str">
        <f>("289742")</f>
        <v>289742</v>
      </c>
      <c r="C908" t="str">
        <f>("W00002933")</f>
        <v>W00002933</v>
      </c>
      <c r="D908" t="str">
        <f>("Introduction to telephony")</f>
        <v>Introduction to telephony</v>
      </c>
      <c r="E908" t="str">
        <f>("Laino, Jane ")</f>
        <v xml:space="preserve">Laino, Jane </v>
      </c>
      <c r="F908" t="str">
        <f>("Telecom Books,")</f>
        <v>Telecom Books,</v>
      </c>
      <c r="H908" t="str">
        <f t="shared" si="367"/>
        <v>圖書 book</v>
      </c>
      <c r="I908" t="str">
        <f>("TK6401 L168 1999")</f>
        <v>TK6401 L168 1999</v>
      </c>
      <c r="J908" t="str">
        <f>("1578200350")</f>
        <v>1578200350</v>
      </c>
      <c r="K908" t="str">
        <f>("984")</f>
        <v>984</v>
      </c>
      <c r="L908" t="str">
        <f t="shared" si="355"/>
        <v>2001/10/10 00:00:00</v>
      </c>
      <c r="M908" t="str">
        <f t="shared" si="373"/>
        <v>2018/08/11 13:35:03</v>
      </c>
      <c r="N908" t="str">
        <f>("1999")</f>
        <v>1999</v>
      </c>
      <c r="O908" t="str">
        <f t="shared" ref="O908:O930" si="375">("4F西文書庫 4F Western Language Books")</f>
        <v>4F西文書庫 4F Western Language Books</v>
      </c>
      <c r="P908" t="s">
        <v>64</v>
      </c>
      <c r="S908" t="str">
        <f>("xvii, 330 p. :")</f>
        <v>xvii, 330 p. :</v>
      </c>
      <c r="T908" t="str">
        <f>("ill. ;")</f>
        <v>ill. ;</v>
      </c>
      <c r="U908" t="str">
        <f>("24 cm ")</f>
        <v xml:space="preserve">24 cm </v>
      </c>
      <c r="W908" t="str">
        <f t="shared" si="370"/>
        <v>美國國會圖書分類法</v>
      </c>
      <c r="Y908" t="str">
        <f>("TK6401")</f>
        <v>TK6401</v>
      </c>
      <c r="Z908" t="str">
        <f t="shared" si="374"/>
        <v>2018/08/11 13:35:03</v>
      </c>
      <c r="AA908" t="str">
        <f t="shared" ref="AA908:AA975" si="376">("catc")</f>
        <v>catc</v>
      </c>
      <c r="AC908" t="str">
        <f>("L168")</f>
        <v>L168</v>
      </c>
      <c r="AE908" t="str">
        <f t="shared" ref="AE908:AE939" si="377">("c.1")</f>
        <v>c.1</v>
      </c>
      <c r="AF908" t="str">
        <f t="shared" ref="AF908:AF930" si="378">("1.可借圖書")</f>
        <v>1.可借圖書</v>
      </c>
      <c r="AG908" t="str">
        <f t="shared" ref="AG908:AG930" si="379">("在架")</f>
        <v>在架</v>
      </c>
      <c r="AI908" t="s">
        <v>65</v>
      </c>
      <c r="AK908" t="str">
        <f t="shared" ref="AK908:AK975" si="380">("一般(Normal)")</f>
        <v>一般(Normal)</v>
      </c>
      <c r="AO908" t="s">
        <v>65</v>
      </c>
      <c r="AS908" t="str">
        <f>("c1999 ")</f>
        <v xml:space="preserve">c1999 </v>
      </c>
      <c r="AT908" t="str">
        <f t="shared" ref="AT908:AT975" si="381">("catc")</f>
        <v>catc</v>
      </c>
    </row>
    <row r="909" spans="1:46" x14ac:dyDescent="0.25">
      <c r="A909">
        <v>898</v>
      </c>
      <c r="B909" t="str">
        <f>("289743")</f>
        <v>289743</v>
      </c>
      <c r="C909" t="str">
        <f>("W00002934")</f>
        <v>W00002934</v>
      </c>
      <c r="D909" t="str">
        <f>("Learning the UNIX operating system /")</f>
        <v>Learning the UNIX operating system /</v>
      </c>
      <c r="E909" t="str">
        <f>("Todino, Grace ")</f>
        <v xml:space="preserve">Todino, Grace </v>
      </c>
      <c r="F909" t="str">
        <f>("O'Reilly &amp; Associates,")</f>
        <v>O'Reilly &amp; Associates,</v>
      </c>
      <c r="G909" t="str">
        <f>("4th ed. / / Additions and revisions by Jerry Peek ")</f>
        <v xml:space="preserve">4th ed. / / Additions and revisions by Jerry Peek </v>
      </c>
      <c r="H909" t="str">
        <f t="shared" si="367"/>
        <v>圖書 book</v>
      </c>
      <c r="I909" t="str">
        <f>("QA76.76.O63 P373 1998")</f>
        <v>QA76.76.O63 P373 1998</v>
      </c>
      <c r="J909" t="str">
        <f>("01565923901")</f>
        <v>01565923901</v>
      </c>
      <c r="K909" t="str">
        <f>("424")</f>
        <v>424</v>
      </c>
      <c r="L909" t="str">
        <f t="shared" si="355"/>
        <v>2001/10/10 00:00:00</v>
      </c>
      <c r="M909" t="str">
        <f t="shared" si="373"/>
        <v>2018/08/11 13:35:03</v>
      </c>
      <c r="N909" t="str">
        <f>("1998")</f>
        <v>1998</v>
      </c>
      <c r="O909" t="str">
        <f t="shared" si="375"/>
        <v>4F西文書庫 4F Western Language Books</v>
      </c>
      <c r="P909" t="s">
        <v>64</v>
      </c>
      <c r="W909" t="str">
        <f t="shared" si="370"/>
        <v>美國國會圖書分類法</v>
      </c>
      <c r="Y909" t="str">
        <f>("QA76.76.O63")</f>
        <v>QA76.76.O63</v>
      </c>
      <c r="Z909" t="str">
        <f t="shared" si="374"/>
        <v>2018/08/11 13:35:03</v>
      </c>
      <c r="AA909" t="str">
        <f t="shared" si="376"/>
        <v>catc</v>
      </c>
      <c r="AC909" t="str">
        <f>("P373")</f>
        <v>P373</v>
      </c>
      <c r="AE909" t="str">
        <f t="shared" si="377"/>
        <v>c.1</v>
      </c>
      <c r="AF909" t="str">
        <f t="shared" si="378"/>
        <v>1.可借圖書</v>
      </c>
      <c r="AG909" t="str">
        <f t="shared" si="379"/>
        <v>在架</v>
      </c>
      <c r="AI909" t="s">
        <v>65</v>
      </c>
      <c r="AK909" t="str">
        <f t="shared" si="380"/>
        <v>一般(Normal)</v>
      </c>
      <c r="AO909" t="s">
        <v>65</v>
      </c>
      <c r="AS909" t="str">
        <f>("1998 ")</f>
        <v xml:space="preserve">1998 </v>
      </c>
      <c r="AT909" t="str">
        <f t="shared" si="381"/>
        <v>catc</v>
      </c>
    </row>
    <row r="910" spans="1:46" x14ac:dyDescent="0.25">
      <c r="A910">
        <v>899</v>
      </c>
      <c r="B910" t="str">
        <f>("289744")</f>
        <v>289744</v>
      </c>
      <c r="C910" t="str">
        <f>("W00002935")</f>
        <v>W00002935</v>
      </c>
      <c r="D910" t="str">
        <f>("Java examples in a nutshell : a tutorial companion to Java in a nutshell / ")</f>
        <v xml:space="preserve">Java examples in a nutshell : a tutorial companion to Java in a nutshell / </v>
      </c>
      <c r="E910" t="str">
        <f>("Flanagan, David. ")</f>
        <v xml:space="preserve">Flanagan, David. </v>
      </c>
      <c r="F910" t="str">
        <f>("O'Reilly, ")</f>
        <v xml:space="preserve">O'Reilly, </v>
      </c>
      <c r="G910" t="str">
        <f>("2nd ed. ")</f>
        <v xml:space="preserve">2nd ed. </v>
      </c>
      <c r="H910" t="str">
        <f t="shared" ref="H910:H930" si="382">("圖書 book")</f>
        <v>圖書 book</v>
      </c>
      <c r="I910" t="str">
        <f>("QA76.73.J38 F583-2 2000")</f>
        <v>QA76.73.J38 F583-2 2000</v>
      </c>
      <c r="J910" t="str">
        <f>("0596000391")</f>
        <v>0596000391</v>
      </c>
      <c r="K910" t="str">
        <f>("840")</f>
        <v>840</v>
      </c>
      <c r="L910" t="str">
        <f t="shared" si="355"/>
        <v>2001/10/10 00:00:00</v>
      </c>
      <c r="M910" t="str">
        <f t="shared" si="373"/>
        <v>2018/08/11 13:35:03</v>
      </c>
      <c r="N910" t="str">
        <f>("2000")</f>
        <v>2000</v>
      </c>
      <c r="O910" t="str">
        <f t="shared" si="375"/>
        <v>4F西文書庫 4F Western Language Books</v>
      </c>
      <c r="P910" t="s">
        <v>64</v>
      </c>
      <c r="W910" t="str">
        <f t="shared" si="370"/>
        <v>美國國會圖書分類法</v>
      </c>
      <c r="Y910" t="str">
        <f>("QA76.73.J38")</f>
        <v>QA76.73.J38</v>
      </c>
      <c r="Z910" t="str">
        <f t="shared" si="374"/>
        <v>2018/08/11 13:35:03</v>
      </c>
      <c r="AA910" t="str">
        <f t="shared" si="376"/>
        <v>catc</v>
      </c>
      <c r="AC910" t="str">
        <f>("F583-2")</f>
        <v>F583-2</v>
      </c>
      <c r="AE910" t="str">
        <f t="shared" si="377"/>
        <v>c.1</v>
      </c>
      <c r="AF910" t="str">
        <f t="shared" si="378"/>
        <v>1.可借圖書</v>
      </c>
      <c r="AG910" t="str">
        <f t="shared" si="379"/>
        <v>在架</v>
      </c>
      <c r="AI910" t="s">
        <v>65</v>
      </c>
      <c r="AK910" t="str">
        <f t="shared" si="380"/>
        <v>一般(Normal)</v>
      </c>
      <c r="AO910" t="s">
        <v>65</v>
      </c>
      <c r="AS910" t="str">
        <f>("2000. ")</f>
        <v xml:space="preserve">2000. </v>
      </c>
      <c r="AT910" t="str">
        <f t="shared" si="381"/>
        <v>catc</v>
      </c>
    </row>
    <row r="911" spans="1:46" x14ac:dyDescent="0.25">
      <c r="A911">
        <v>900</v>
      </c>
      <c r="B911" t="str">
        <f>("289733")</f>
        <v>289733</v>
      </c>
      <c r="C911" t="str">
        <f>("W00002936")</f>
        <v>W00002936</v>
      </c>
      <c r="D911" t="str">
        <f>("VB &amp; VBA in a nutshell : the language / ")</f>
        <v xml:space="preserve">VB &amp; VBA in a nutshell : the language / </v>
      </c>
      <c r="E911" t="str">
        <f>("Lomax, Paul. ")</f>
        <v xml:space="preserve">Lomax, Paul. </v>
      </c>
      <c r="F911" t="str">
        <f>("O'Reilly &amp; Associates, ")</f>
        <v xml:space="preserve">O'Reilly &amp; Associates, </v>
      </c>
      <c r="G911" t="str">
        <f>("1st ed. ")</f>
        <v xml:space="preserve">1st ed. </v>
      </c>
      <c r="H911" t="str">
        <f t="shared" si="382"/>
        <v>圖書 book</v>
      </c>
      <c r="I911" t="str">
        <f>("QA76.73.B3 L839 1998")</f>
        <v>QA76.73.B3 L839 1998</v>
      </c>
      <c r="J911" t="str">
        <f>("1565923588")</f>
        <v>1565923588</v>
      </c>
      <c r="K911" t="str">
        <f>("704")</f>
        <v>704</v>
      </c>
      <c r="L911" t="str">
        <f t="shared" si="355"/>
        <v>2001/10/10 00:00:00</v>
      </c>
      <c r="M911" t="str">
        <f t="shared" si="373"/>
        <v>2018/08/11 13:35:03</v>
      </c>
      <c r="N911" t="str">
        <f>("1998")</f>
        <v>1998</v>
      </c>
      <c r="O911" t="str">
        <f t="shared" si="375"/>
        <v>4F西文書庫 4F Western Language Books</v>
      </c>
      <c r="P911" t="s">
        <v>64</v>
      </c>
      <c r="W911" t="str">
        <f t="shared" si="370"/>
        <v>美國國會圖書分類法</v>
      </c>
      <c r="Y911" t="str">
        <f>("QA76.73.B3")</f>
        <v>QA76.73.B3</v>
      </c>
      <c r="Z911" t="str">
        <f t="shared" si="374"/>
        <v>2018/08/11 13:35:03</v>
      </c>
      <c r="AA911" t="str">
        <f t="shared" si="376"/>
        <v>catc</v>
      </c>
      <c r="AC911" t="str">
        <f>("L839")</f>
        <v>L839</v>
      </c>
      <c r="AE911" t="str">
        <f t="shared" si="377"/>
        <v>c.1</v>
      </c>
      <c r="AF911" t="str">
        <f t="shared" si="378"/>
        <v>1.可借圖書</v>
      </c>
      <c r="AG911" t="str">
        <f t="shared" si="379"/>
        <v>在架</v>
      </c>
      <c r="AI911" t="s">
        <v>65</v>
      </c>
      <c r="AK911" t="str">
        <f t="shared" si="380"/>
        <v>一般(Normal)</v>
      </c>
      <c r="AO911" t="s">
        <v>65</v>
      </c>
      <c r="AS911" t="str">
        <f>("c1998. ")</f>
        <v xml:space="preserve">c1998. </v>
      </c>
      <c r="AT911" t="str">
        <f t="shared" si="381"/>
        <v>catc</v>
      </c>
    </row>
    <row r="912" spans="1:46" x14ac:dyDescent="0.25">
      <c r="A912">
        <v>901</v>
      </c>
      <c r="B912" t="str">
        <f>("289734")</f>
        <v>289734</v>
      </c>
      <c r="C912" t="str">
        <f>("W00002937")</f>
        <v>W00002937</v>
      </c>
      <c r="D912" t="str">
        <f>("Building enterprise active directory services : notes from the field. ")</f>
        <v xml:space="preserve">Building enterprise active directory services : notes from the field. </v>
      </c>
      <c r="E912" t="str">
        <f>("Microsoft Press. ")</f>
        <v xml:space="preserve">Microsoft Press. </v>
      </c>
      <c r="F912" t="str">
        <f>("Microsoft Press, ")</f>
        <v xml:space="preserve">Microsoft Press, </v>
      </c>
      <c r="H912" t="str">
        <f t="shared" si="382"/>
        <v>圖書 book</v>
      </c>
      <c r="I912" t="str">
        <f>("TK5105.595 U33 2000")</f>
        <v>TK5105.595 U33 2000</v>
      </c>
      <c r="J912" t="str">
        <f>("0735608601")</f>
        <v>0735608601</v>
      </c>
      <c r="K912" t="str">
        <f>("1120")</f>
        <v>1120</v>
      </c>
      <c r="L912" t="str">
        <f t="shared" si="355"/>
        <v>2001/10/10 00:00:00</v>
      </c>
      <c r="M912" t="str">
        <f t="shared" si="373"/>
        <v>2018/08/11 13:35:03</v>
      </c>
      <c r="N912" t="str">
        <f>("2000")</f>
        <v>2000</v>
      </c>
      <c r="O912" t="str">
        <f t="shared" si="375"/>
        <v>4F西文書庫 4F Western Language Books</v>
      </c>
      <c r="P912" t="s">
        <v>64</v>
      </c>
      <c r="W912" t="str">
        <f t="shared" si="370"/>
        <v>美國國會圖書分類法</v>
      </c>
      <c r="Y912" t="str">
        <f>("TK5105.595")</f>
        <v>TK5105.595</v>
      </c>
      <c r="Z912" t="str">
        <f t="shared" si="374"/>
        <v>2018/08/11 13:35:03</v>
      </c>
      <c r="AA912" t="str">
        <f t="shared" si="376"/>
        <v>catc</v>
      </c>
      <c r="AC912" t="str">
        <f>("U33")</f>
        <v>U33</v>
      </c>
      <c r="AE912" t="str">
        <f t="shared" si="377"/>
        <v>c.1</v>
      </c>
      <c r="AF912" t="str">
        <f t="shared" si="378"/>
        <v>1.可借圖書</v>
      </c>
      <c r="AG912" t="str">
        <f t="shared" si="379"/>
        <v>在架</v>
      </c>
      <c r="AI912" t="s">
        <v>65</v>
      </c>
      <c r="AK912" t="str">
        <f t="shared" si="380"/>
        <v>一般(Normal)</v>
      </c>
      <c r="AO912" t="s">
        <v>65</v>
      </c>
      <c r="AS912" t="str">
        <f>("c2000. ")</f>
        <v xml:space="preserve">c2000. </v>
      </c>
      <c r="AT912" t="str">
        <f t="shared" si="381"/>
        <v>catc</v>
      </c>
    </row>
    <row r="913" spans="1:46" x14ac:dyDescent="0.25">
      <c r="A913">
        <v>902</v>
      </c>
      <c r="B913" t="str">
        <f>("289735")</f>
        <v>289735</v>
      </c>
      <c r="C913" t="str">
        <f>("W00002938")</f>
        <v>W00002938</v>
      </c>
      <c r="D913" t="str">
        <f>("Palm OS bible  ")</f>
        <v xml:space="preserve">Palm OS bible  </v>
      </c>
      <c r="E913" t="str">
        <f>("Brown, Glenn ")</f>
        <v xml:space="preserve">Brown, Glenn </v>
      </c>
      <c r="F913" t="str">
        <f>("IDG Books Worldwide, ")</f>
        <v xml:space="preserve">IDG Books Worldwide, </v>
      </c>
      <c r="H913" t="str">
        <f t="shared" si="382"/>
        <v>圖書 book</v>
      </c>
      <c r="I913" t="str">
        <f>("QA76.8.P138 B882 2000")</f>
        <v>QA76.8.P138 B882 2000</v>
      </c>
      <c r="J913" t="str">
        <f>("0764534084")</f>
        <v>0764534084</v>
      </c>
      <c r="K913" t="str">
        <f>("1120")</f>
        <v>1120</v>
      </c>
      <c r="L913" t="str">
        <f t="shared" si="355"/>
        <v>2001/10/10 00:00:00</v>
      </c>
      <c r="M913" t="str">
        <f t="shared" si="373"/>
        <v>2018/08/11 13:35:03</v>
      </c>
      <c r="N913" t="str">
        <f>("2000")</f>
        <v>2000</v>
      </c>
      <c r="O913" t="str">
        <f t="shared" si="375"/>
        <v>4F西文書庫 4F Western Language Books</v>
      </c>
      <c r="P913" t="s">
        <v>64</v>
      </c>
      <c r="W913" t="str">
        <f t="shared" si="370"/>
        <v>美國國會圖書分類法</v>
      </c>
      <c r="Y913" t="str">
        <f>("QA76.8.P138")</f>
        <v>QA76.8.P138</v>
      </c>
      <c r="Z913" t="str">
        <f t="shared" si="374"/>
        <v>2018/08/11 13:35:03</v>
      </c>
      <c r="AA913" t="str">
        <f t="shared" si="376"/>
        <v>catc</v>
      </c>
      <c r="AC913" t="str">
        <f>("B882")</f>
        <v>B882</v>
      </c>
      <c r="AE913" t="str">
        <f t="shared" si="377"/>
        <v>c.1</v>
      </c>
      <c r="AF913" t="str">
        <f t="shared" si="378"/>
        <v>1.可借圖書</v>
      </c>
      <c r="AG913" t="str">
        <f t="shared" si="379"/>
        <v>在架</v>
      </c>
      <c r="AI913" t="s">
        <v>65</v>
      </c>
      <c r="AK913" t="str">
        <f t="shared" si="380"/>
        <v>一般(Normal)</v>
      </c>
      <c r="AO913" t="s">
        <v>65</v>
      </c>
      <c r="AS913" t="str">
        <f>("c2000. ")</f>
        <v xml:space="preserve">c2000. </v>
      </c>
      <c r="AT913" t="str">
        <f t="shared" si="381"/>
        <v>catc</v>
      </c>
    </row>
    <row r="914" spans="1:46" x14ac:dyDescent="0.25">
      <c r="A914">
        <v>903</v>
      </c>
      <c r="B914" t="str">
        <f>("289736")</f>
        <v>289736</v>
      </c>
      <c r="C914" t="str">
        <f>("W00002939")</f>
        <v>W00002939</v>
      </c>
      <c r="D914" t="str">
        <f>("Programming the Be operating system / ")</f>
        <v xml:space="preserve">Programming the Be operating system / </v>
      </c>
      <c r="E914" t="str">
        <f>("Sydow, Dan Parks. ")</f>
        <v xml:space="preserve">Sydow, Dan Parks. </v>
      </c>
      <c r="F914" t="str">
        <f>("O'Reilly, ")</f>
        <v xml:space="preserve">O'Reilly, </v>
      </c>
      <c r="G914" t="str">
        <f>("1st ed. ")</f>
        <v xml:space="preserve">1st ed. </v>
      </c>
      <c r="H914" t="str">
        <f t="shared" si="382"/>
        <v>圖書 book</v>
      </c>
      <c r="I914" t="str">
        <f>("QA76.76.O63 S982 1999")</f>
        <v>QA76.76.O63 S982 1999</v>
      </c>
      <c r="J914" t="str">
        <f>("1565924673")</f>
        <v>1565924673</v>
      </c>
      <c r="K914" t="str">
        <f>("984")</f>
        <v>984</v>
      </c>
      <c r="L914" t="str">
        <f t="shared" si="355"/>
        <v>2001/10/10 00:00:00</v>
      </c>
      <c r="M914" t="str">
        <f t="shared" ref="M914:M922" si="383">("2018/08/11 13:35:04")</f>
        <v>2018/08/11 13:35:04</v>
      </c>
      <c r="N914" t="str">
        <f>("1999")</f>
        <v>1999</v>
      </c>
      <c r="O914" t="str">
        <f t="shared" si="375"/>
        <v>4F西文書庫 4F Western Language Books</v>
      </c>
      <c r="P914" t="s">
        <v>64</v>
      </c>
      <c r="W914" t="str">
        <f t="shared" si="370"/>
        <v>美國國會圖書分類法</v>
      </c>
      <c r="Y914" t="str">
        <f>("QA76.76.O63")</f>
        <v>QA76.76.O63</v>
      </c>
      <c r="Z914" t="str">
        <f t="shared" si="374"/>
        <v>2018/08/11 13:35:03</v>
      </c>
      <c r="AA914" t="str">
        <f t="shared" si="376"/>
        <v>catc</v>
      </c>
      <c r="AC914" t="str">
        <f>("S982")</f>
        <v>S982</v>
      </c>
      <c r="AE914" t="str">
        <f t="shared" si="377"/>
        <v>c.1</v>
      </c>
      <c r="AF914" t="str">
        <f t="shared" si="378"/>
        <v>1.可借圖書</v>
      </c>
      <c r="AG914" t="str">
        <f t="shared" si="379"/>
        <v>在架</v>
      </c>
      <c r="AI914" t="s">
        <v>65</v>
      </c>
      <c r="AK914" t="str">
        <f t="shared" si="380"/>
        <v>一般(Normal)</v>
      </c>
      <c r="AO914" t="s">
        <v>65</v>
      </c>
      <c r="AS914" t="str">
        <f>("1999. ")</f>
        <v xml:space="preserve">1999. </v>
      </c>
      <c r="AT914" t="str">
        <f t="shared" si="381"/>
        <v>catc</v>
      </c>
    </row>
    <row r="915" spans="1:46" x14ac:dyDescent="0.25">
      <c r="A915">
        <v>904</v>
      </c>
      <c r="B915" t="str">
        <f>("289737")</f>
        <v>289737</v>
      </c>
      <c r="C915" t="str">
        <f>("W00002940")</f>
        <v>W00002940</v>
      </c>
      <c r="D915" t="str">
        <f>("Java foundation classes in a nutshell : a desktop quick reference / ")</f>
        <v xml:space="preserve">Java foundation classes in a nutshell : a desktop quick reference / </v>
      </c>
      <c r="E915" t="str">
        <f>("Flanagan, David. ")</f>
        <v xml:space="preserve">Flanagan, David. </v>
      </c>
      <c r="F915" t="str">
        <f>("O'Reilly, ")</f>
        <v xml:space="preserve">O'Reilly, </v>
      </c>
      <c r="H915" t="str">
        <f t="shared" si="382"/>
        <v>圖書 book</v>
      </c>
      <c r="I915" t="str">
        <f>("QA76.73.J38 F583 1999")</f>
        <v>QA76.73.J38 F583 1999</v>
      </c>
      <c r="J915" t="str">
        <f>("1565924886")</f>
        <v>1565924886</v>
      </c>
      <c r="K915" t="str">
        <f>("840")</f>
        <v>840</v>
      </c>
      <c r="L915" t="str">
        <f t="shared" ref="L915:L973" si="384">("2001/10/10 00:00:00")</f>
        <v>2001/10/10 00:00:00</v>
      </c>
      <c r="M915" t="str">
        <f t="shared" si="383"/>
        <v>2018/08/11 13:35:04</v>
      </c>
      <c r="N915" t="str">
        <f>("1999")</f>
        <v>1999</v>
      </c>
      <c r="O915" t="str">
        <f t="shared" si="375"/>
        <v>4F西文書庫 4F Western Language Books</v>
      </c>
      <c r="P915" t="s">
        <v>64</v>
      </c>
      <c r="W915" t="str">
        <f t="shared" si="370"/>
        <v>美國國會圖書分類法</v>
      </c>
      <c r="Y915" t="str">
        <f>("QA76.73.J38")</f>
        <v>QA76.73.J38</v>
      </c>
      <c r="Z915" t="str">
        <f t="shared" ref="Z915:Z923" si="385">("2018/08/11 13:35:04")</f>
        <v>2018/08/11 13:35:04</v>
      </c>
      <c r="AA915" t="str">
        <f t="shared" si="376"/>
        <v>catc</v>
      </c>
      <c r="AC915" t="str">
        <f>("F583")</f>
        <v>F583</v>
      </c>
      <c r="AE915" t="str">
        <f t="shared" si="377"/>
        <v>c.1</v>
      </c>
      <c r="AF915" t="str">
        <f t="shared" si="378"/>
        <v>1.可借圖書</v>
      </c>
      <c r="AG915" t="str">
        <f t="shared" si="379"/>
        <v>在架</v>
      </c>
      <c r="AI915" t="s">
        <v>65</v>
      </c>
      <c r="AK915" t="str">
        <f t="shared" si="380"/>
        <v>一般(Normal)</v>
      </c>
      <c r="AO915" t="s">
        <v>65</v>
      </c>
      <c r="AS915" t="str">
        <f>("1999. ")</f>
        <v xml:space="preserve">1999. </v>
      </c>
      <c r="AT915" t="str">
        <f t="shared" si="381"/>
        <v>catc</v>
      </c>
    </row>
    <row r="916" spans="1:46" x14ac:dyDescent="0.25">
      <c r="A916">
        <v>905</v>
      </c>
      <c r="B916" t="str">
        <f>("289738")</f>
        <v>289738</v>
      </c>
      <c r="C916" t="str">
        <f>("W00002941")</f>
        <v>W00002941</v>
      </c>
      <c r="D916" t="str">
        <f>("Java enterprise in a nutshell : a desktop quick reference / ")</f>
        <v xml:space="preserve">Java enterprise in a nutshell : a desktop quick reference / </v>
      </c>
      <c r="E916" t="str">
        <f>("Flanagan, David. ")</f>
        <v xml:space="preserve">Flanagan, David. </v>
      </c>
      <c r="F916" t="str">
        <f>("O'Reilly, ")</f>
        <v xml:space="preserve">O'Reilly, </v>
      </c>
      <c r="G916" t="str">
        <f>("1st ed. ")</f>
        <v xml:space="preserve">1st ed. </v>
      </c>
      <c r="H916" t="str">
        <f t="shared" si="382"/>
        <v>圖書 book</v>
      </c>
      <c r="I916" t="str">
        <f>("QA76.73.J38 F583-3 1999")</f>
        <v>QA76.73.J38 F583-3 1999</v>
      </c>
      <c r="J916" t="str">
        <f>("1565924835")</f>
        <v>1565924835</v>
      </c>
      <c r="K916" t="str">
        <f>("840")</f>
        <v>840</v>
      </c>
      <c r="L916" t="str">
        <f t="shared" si="384"/>
        <v>2001/10/10 00:00:00</v>
      </c>
      <c r="M916" t="str">
        <f t="shared" si="383"/>
        <v>2018/08/11 13:35:04</v>
      </c>
      <c r="N916" t="str">
        <f>("1999")</f>
        <v>1999</v>
      </c>
      <c r="O916" t="str">
        <f t="shared" si="375"/>
        <v>4F西文書庫 4F Western Language Books</v>
      </c>
      <c r="P916" t="s">
        <v>64</v>
      </c>
      <c r="W916" t="str">
        <f t="shared" si="370"/>
        <v>美國國會圖書分類法</v>
      </c>
      <c r="Y916" t="str">
        <f>("QA76.73.J38")</f>
        <v>QA76.73.J38</v>
      </c>
      <c r="Z916" t="str">
        <f t="shared" si="385"/>
        <v>2018/08/11 13:35:04</v>
      </c>
      <c r="AA916" t="str">
        <f t="shared" si="376"/>
        <v>catc</v>
      </c>
      <c r="AC916" t="str">
        <f>("F583-3")</f>
        <v>F583-3</v>
      </c>
      <c r="AE916" t="str">
        <f t="shared" si="377"/>
        <v>c.1</v>
      </c>
      <c r="AF916" t="str">
        <f t="shared" si="378"/>
        <v>1.可借圖書</v>
      </c>
      <c r="AG916" t="str">
        <f t="shared" si="379"/>
        <v>在架</v>
      </c>
      <c r="AI916" t="s">
        <v>65</v>
      </c>
      <c r="AK916" t="str">
        <f t="shared" si="380"/>
        <v>一般(Normal)</v>
      </c>
      <c r="AO916" t="s">
        <v>65</v>
      </c>
      <c r="AS916" t="str">
        <f>("1999. ")</f>
        <v xml:space="preserve">1999. </v>
      </c>
      <c r="AT916" t="str">
        <f t="shared" si="381"/>
        <v>catc</v>
      </c>
    </row>
    <row r="917" spans="1:46" x14ac:dyDescent="0.25">
      <c r="A917">
        <v>906</v>
      </c>
      <c r="B917" t="str">
        <f>("289739")</f>
        <v>289739</v>
      </c>
      <c r="C917" t="str">
        <f>("W00002942")</f>
        <v>W00002942</v>
      </c>
      <c r="D917" t="str">
        <f>("Automating Windows with Perl")</f>
        <v>Automating Windows with Perl</v>
      </c>
      <c r="E917" t="str">
        <f>("McMahan, Scott ")</f>
        <v xml:space="preserve">McMahan, Scott </v>
      </c>
      <c r="F917" t="str">
        <f>("R &amp; D Books,")</f>
        <v>R &amp; D Books,</v>
      </c>
      <c r="H917" t="str">
        <f t="shared" si="382"/>
        <v>圖書 book</v>
      </c>
      <c r="I917" t="str">
        <f>("QA76.73.P22 M111 1999")</f>
        <v>QA76.73.P22 M111 1999</v>
      </c>
      <c r="J917" t="str">
        <f>("0879305894")</f>
        <v>0879305894</v>
      </c>
      <c r="K917" t="str">
        <f>("984")</f>
        <v>984</v>
      </c>
      <c r="L917" t="str">
        <f t="shared" si="384"/>
        <v>2001/10/10 00:00:00</v>
      </c>
      <c r="M917" t="str">
        <f t="shared" si="383"/>
        <v>2018/08/11 13:35:04</v>
      </c>
      <c r="N917" t="str">
        <f>("1999")</f>
        <v>1999</v>
      </c>
      <c r="O917" t="str">
        <f t="shared" si="375"/>
        <v>4F西文書庫 4F Western Language Books</v>
      </c>
      <c r="P917" t="s">
        <v>64</v>
      </c>
      <c r="W917" t="str">
        <f t="shared" si="370"/>
        <v>美國國會圖書分類法</v>
      </c>
      <c r="Y917" t="str">
        <f>("QA76.73.P22")</f>
        <v>QA76.73.P22</v>
      </c>
      <c r="Z917" t="str">
        <f t="shared" si="385"/>
        <v>2018/08/11 13:35:04</v>
      </c>
      <c r="AA917" t="str">
        <f t="shared" si="376"/>
        <v>catc</v>
      </c>
      <c r="AC917" t="str">
        <f>("M111")</f>
        <v>M111</v>
      </c>
      <c r="AE917" t="str">
        <f t="shared" si="377"/>
        <v>c.1</v>
      </c>
      <c r="AF917" t="str">
        <f t="shared" si="378"/>
        <v>1.可借圖書</v>
      </c>
      <c r="AG917" t="str">
        <f t="shared" si="379"/>
        <v>在架</v>
      </c>
      <c r="AI917" t="s">
        <v>65</v>
      </c>
      <c r="AK917" t="str">
        <f t="shared" si="380"/>
        <v>一般(Normal)</v>
      </c>
      <c r="AO917" t="s">
        <v>65</v>
      </c>
      <c r="AS917" t="str">
        <f>("c1999 ")</f>
        <v xml:space="preserve">c1999 </v>
      </c>
      <c r="AT917" t="str">
        <f t="shared" si="381"/>
        <v>catc</v>
      </c>
    </row>
    <row r="918" spans="1:46" x14ac:dyDescent="0.25">
      <c r="A918">
        <v>907</v>
      </c>
      <c r="B918" t="str">
        <f>("289745")</f>
        <v>289745</v>
      </c>
      <c r="C918" t="str">
        <f>("W00002943")</f>
        <v>W00002943</v>
      </c>
      <c r="D918" t="str">
        <f>("Big book of lightweight directory access protocol (LDAP) RFCs / ")</f>
        <v xml:space="preserve">Big book of lightweight directory access protocol (LDAP) RFCs / </v>
      </c>
      <c r="E918" t="str">
        <f>("Loshin, Peter. ")</f>
        <v xml:space="preserve">Loshin, Peter. </v>
      </c>
      <c r="F918" t="str">
        <f>("Morgan Kaufmann ; ;Harcourt Brace, ")</f>
        <v xml:space="preserve">Morgan Kaufmann ; ;Harcourt Brace, </v>
      </c>
      <c r="H918" t="str">
        <f t="shared" si="382"/>
        <v>圖書 book</v>
      </c>
      <c r="I918" t="str">
        <f>("TK5105.55 B592 2000")</f>
        <v>TK5105.55 B592 2000</v>
      </c>
      <c r="J918" t="str">
        <f>("0124558437")</f>
        <v>0124558437</v>
      </c>
      <c r="K918" t="str">
        <f>("880")</f>
        <v>880</v>
      </c>
      <c r="L918" t="str">
        <f t="shared" si="384"/>
        <v>2001/10/10 00:00:00</v>
      </c>
      <c r="M918" t="str">
        <f t="shared" si="383"/>
        <v>2018/08/11 13:35:04</v>
      </c>
      <c r="N918" t="str">
        <f>("2000")</f>
        <v>2000</v>
      </c>
      <c r="O918" t="str">
        <f t="shared" si="375"/>
        <v>4F西文書庫 4F Western Language Books</v>
      </c>
      <c r="P918" t="s">
        <v>64</v>
      </c>
      <c r="W918" t="str">
        <f t="shared" si="370"/>
        <v>美國國會圖書分類法</v>
      </c>
      <c r="Y918" t="str">
        <f>("TK5105.55")</f>
        <v>TK5105.55</v>
      </c>
      <c r="Z918" t="str">
        <f t="shared" si="385"/>
        <v>2018/08/11 13:35:04</v>
      </c>
      <c r="AA918" t="str">
        <f t="shared" si="376"/>
        <v>catc</v>
      </c>
      <c r="AC918" t="str">
        <f>("B592")</f>
        <v>B592</v>
      </c>
      <c r="AE918" t="str">
        <f t="shared" si="377"/>
        <v>c.1</v>
      </c>
      <c r="AF918" t="str">
        <f t="shared" si="378"/>
        <v>1.可借圖書</v>
      </c>
      <c r="AG918" t="str">
        <f t="shared" si="379"/>
        <v>在架</v>
      </c>
      <c r="AI918" t="s">
        <v>65</v>
      </c>
      <c r="AK918" t="str">
        <f t="shared" si="380"/>
        <v>一般(Normal)</v>
      </c>
      <c r="AO918" t="s">
        <v>65</v>
      </c>
      <c r="AS918" t="str">
        <f>("2000. ")</f>
        <v xml:space="preserve">2000. </v>
      </c>
      <c r="AT918" t="str">
        <f t="shared" si="381"/>
        <v>catc</v>
      </c>
    </row>
    <row r="919" spans="1:46" x14ac:dyDescent="0.25">
      <c r="A919">
        <v>908</v>
      </c>
      <c r="B919" t="str">
        <f>("289740")</f>
        <v>289740</v>
      </c>
      <c r="C919" t="str">
        <f>("W00002944")</f>
        <v>W00002944</v>
      </c>
      <c r="D919" t="str">
        <f>("Designing web audio / ")</f>
        <v xml:space="preserve">Designing web audio / </v>
      </c>
      <c r="E919" t="str">
        <f>("Beggs, Josh. ")</f>
        <v xml:space="preserve">Beggs, Josh. </v>
      </c>
      <c r="F919" t="str">
        <f>("O'Reilly, ")</f>
        <v xml:space="preserve">O'Reilly, </v>
      </c>
      <c r="G919" t="str">
        <f>("1st ed. ")</f>
        <v xml:space="preserve">1st ed. </v>
      </c>
      <c r="H919" t="str">
        <f t="shared" si="382"/>
        <v>圖書 book</v>
      </c>
      <c r="I919" t="str">
        <f>("TK5105.8863 B416 2001")</f>
        <v>TK5105.8863 B416 2001</v>
      </c>
      <c r="J919" t="str">
        <f>("1565923537")</f>
        <v>1565923537</v>
      </c>
      <c r="K919" t="str">
        <f>("840")</f>
        <v>840</v>
      </c>
      <c r="L919" t="str">
        <f t="shared" si="384"/>
        <v>2001/10/10 00:00:00</v>
      </c>
      <c r="M919" t="str">
        <f t="shared" si="383"/>
        <v>2018/08/11 13:35:04</v>
      </c>
      <c r="N919" t="str">
        <f>("2001")</f>
        <v>2001</v>
      </c>
      <c r="O919" t="str">
        <f t="shared" si="375"/>
        <v>4F西文書庫 4F Western Language Books</v>
      </c>
      <c r="P919" t="s">
        <v>64</v>
      </c>
      <c r="W919" t="str">
        <f t="shared" si="370"/>
        <v>美國國會圖書分類法</v>
      </c>
      <c r="Y919" t="str">
        <f>("TK5105.8863")</f>
        <v>TK5105.8863</v>
      </c>
      <c r="Z919" t="str">
        <f t="shared" si="385"/>
        <v>2018/08/11 13:35:04</v>
      </c>
      <c r="AA919" t="str">
        <f t="shared" si="376"/>
        <v>catc</v>
      </c>
      <c r="AC919" t="str">
        <f>("B416")</f>
        <v>B416</v>
      </c>
      <c r="AE919" t="str">
        <f t="shared" si="377"/>
        <v>c.1</v>
      </c>
      <c r="AF919" t="str">
        <f t="shared" si="378"/>
        <v>1.可借圖書</v>
      </c>
      <c r="AG919" t="str">
        <f t="shared" si="379"/>
        <v>在架</v>
      </c>
      <c r="AI919" t="s">
        <v>65</v>
      </c>
      <c r="AK919" t="str">
        <f t="shared" si="380"/>
        <v>一般(Normal)</v>
      </c>
      <c r="AO919" t="s">
        <v>65</v>
      </c>
      <c r="AS919" t="str">
        <f>("c2001. ")</f>
        <v xml:space="preserve">c2001. </v>
      </c>
      <c r="AT919" t="str">
        <f t="shared" si="381"/>
        <v>catc</v>
      </c>
    </row>
    <row r="920" spans="1:46" x14ac:dyDescent="0.25">
      <c r="A920">
        <v>909</v>
      </c>
      <c r="B920" t="str">
        <f>("289761")</f>
        <v>289761</v>
      </c>
      <c r="C920" t="str">
        <f>("W00002945")</f>
        <v>W00002945</v>
      </c>
      <c r="D920" t="str">
        <f>("Digital photography bible / ")</f>
        <v xml:space="preserve">Digital photography bible / </v>
      </c>
      <c r="E920" t="str">
        <f>("Milburn, Ken, 1935- ")</f>
        <v xml:space="preserve">Milburn, Ken, 1935- </v>
      </c>
      <c r="F920" t="str">
        <f>("IDG Books Worldwide, ")</f>
        <v xml:space="preserve">IDG Books Worldwide, </v>
      </c>
      <c r="H920" t="str">
        <f t="shared" si="382"/>
        <v>圖書 book</v>
      </c>
      <c r="I920" t="str">
        <f>("TR267 M638 2000")</f>
        <v>TR267 M638 2000</v>
      </c>
      <c r="J920" t="str">
        <f>("0764533940")</f>
        <v>0764533940</v>
      </c>
      <c r="K920" t="str">
        <f>("1120")</f>
        <v>1120</v>
      </c>
      <c r="L920" t="str">
        <f t="shared" si="384"/>
        <v>2001/10/10 00:00:00</v>
      </c>
      <c r="M920" t="str">
        <f t="shared" si="383"/>
        <v>2018/08/11 13:35:04</v>
      </c>
      <c r="N920" t="str">
        <f>("2000")</f>
        <v>2000</v>
      </c>
      <c r="O920" t="str">
        <f t="shared" si="375"/>
        <v>4F西文書庫 4F Western Language Books</v>
      </c>
      <c r="P920" t="s">
        <v>64</v>
      </c>
      <c r="W920" t="str">
        <f t="shared" si="370"/>
        <v>美國國會圖書分類法</v>
      </c>
      <c r="Y920" t="str">
        <f>("TR267")</f>
        <v>TR267</v>
      </c>
      <c r="Z920" t="str">
        <f t="shared" si="385"/>
        <v>2018/08/11 13:35:04</v>
      </c>
      <c r="AA920" t="str">
        <f t="shared" si="376"/>
        <v>catc</v>
      </c>
      <c r="AC920" t="str">
        <f>("M638")</f>
        <v>M638</v>
      </c>
      <c r="AE920" t="str">
        <f t="shared" si="377"/>
        <v>c.1</v>
      </c>
      <c r="AF920" t="str">
        <f t="shared" si="378"/>
        <v>1.可借圖書</v>
      </c>
      <c r="AG920" t="str">
        <f t="shared" si="379"/>
        <v>在架</v>
      </c>
      <c r="AI920" t="s">
        <v>65</v>
      </c>
      <c r="AK920" t="str">
        <f t="shared" si="380"/>
        <v>一般(Normal)</v>
      </c>
      <c r="AO920" t="s">
        <v>65</v>
      </c>
      <c r="AS920" t="str">
        <f>("c2000. ")</f>
        <v xml:space="preserve">c2000. </v>
      </c>
      <c r="AT920" t="str">
        <f t="shared" si="381"/>
        <v>catc</v>
      </c>
    </row>
    <row r="921" spans="1:46" x14ac:dyDescent="0.25">
      <c r="A921">
        <v>910</v>
      </c>
      <c r="B921" t="str">
        <f>("289762")</f>
        <v>289762</v>
      </c>
      <c r="C921" t="str">
        <f>("W00002946")</f>
        <v>W00002946</v>
      </c>
      <c r="D921" t="str">
        <f>("Big book of terminal emulation RFCs / ")</f>
        <v xml:space="preserve">Big book of terminal emulation RFCs / </v>
      </c>
      <c r="E921" t="str">
        <f>("Loshin, Peter. ")</f>
        <v xml:space="preserve">Loshin, Peter. </v>
      </c>
      <c r="F921" t="str">
        <f>("Morgan Kaufmann, ")</f>
        <v xml:space="preserve">Morgan Kaufmann, </v>
      </c>
      <c r="H921" t="str">
        <f t="shared" si="382"/>
        <v>圖書 book</v>
      </c>
      <c r="I921" t="str">
        <f>("TK5105.9 B592 2000")</f>
        <v>TK5105.9 B592 2000</v>
      </c>
      <c r="J921" t="str">
        <f>("0124558429")</f>
        <v>0124558429</v>
      </c>
      <c r="K921" t="str">
        <f>("880")</f>
        <v>880</v>
      </c>
      <c r="L921" t="str">
        <f t="shared" si="384"/>
        <v>2001/10/10 00:00:00</v>
      </c>
      <c r="M921" t="str">
        <f t="shared" si="383"/>
        <v>2018/08/11 13:35:04</v>
      </c>
      <c r="N921" t="str">
        <f>("2000")</f>
        <v>2000</v>
      </c>
      <c r="O921" t="str">
        <f t="shared" si="375"/>
        <v>4F西文書庫 4F Western Language Books</v>
      </c>
      <c r="P921" t="s">
        <v>64</v>
      </c>
      <c r="W921" t="str">
        <f t="shared" si="370"/>
        <v>美國國會圖書分類法</v>
      </c>
      <c r="Y921" t="str">
        <f>("TK5105.9")</f>
        <v>TK5105.9</v>
      </c>
      <c r="Z921" t="str">
        <f t="shared" si="385"/>
        <v>2018/08/11 13:35:04</v>
      </c>
      <c r="AA921" t="str">
        <f t="shared" si="376"/>
        <v>catc</v>
      </c>
      <c r="AC921" t="str">
        <f>("B592")</f>
        <v>B592</v>
      </c>
      <c r="AE921" t="str">
        <f t="shared" si="377"/>
        <v>c.1</v>
      </c>
      <c r="AF921" t="str">
        <f t="shared" si="378"/>
        <v>1.可借圖書</v>
      </c>
      <c r="AG921" t="str">
        <f t="shared" si="379"/>
        <v>在架</v>
      </c>
      <c r="AI921" t="s">
        <v>65</v>
      </c>
      <c r="AK921" t="str">
        <f t="shared" si="380"/>
        <v>一般(Normal)</v>
      </c>
      <c r="AO921" t="s">
        <v>65</v>
      </c>
      <c r="AS921" t="str">
        <f>("c2000. ")</f>
        <v xml:space="preserve">c2000. </v>
      </c>
      <c r="AT921" t="str">
        <f t="shared" si="381"/>
        <v>catc</v>
      </c>
    </row>
    <row r="922" spans="1:46" x14ac:dyDescent="0.25">
      <c r="A922">
        <v>911</v>
      </c>
      <c r="B922" t="str">
        <f>("289763")</f>
        <v>289763</v>
      </c>
      <c r="C922" t="str">
        <f>("W00002947")</f>
        <v>W00002947</v>
      </c>
      <c r="D922" t="str">
        <f>("Macworld Microsoft Office 2001 bible / ")</f>
        <v xml:space="preserve">Macworld Microsoft Office 2001 bible / </v>
      </c>
      <c r="E922" t="str">
        <f>("LeVitus, Bob. ")</f>
        <v xml:space="preserve">LeVitus, Bob. </v>
      </c>
      <c r="F922" t="str">
        <f>("IDG Books Worldwide, ")</f>
        <v xml:space="preserve">IDG Books Worldwide, </v>
      </c>
      <c r="H922" t="str">
        <f t="shared" si="382"/>
        <v>圖書 book</v>
      </c>
      <c r="I922" t="str">
        <f>("HF5548.4.M525 L664 2001")</f>
        <v>HF5548.4.M525 L664 2001</v>
      </c>
      <c r="J922" t="str">
        <f>("0764534629")</f>
        <v>0764534629</v>
      </c>
      <c r="K922" t="str">
        <f>("1264")</f>
        <v>1264</v>
      </c>
      <c r="L922" t="str">
        <f t="shared" si="384"/>
        <v>2001/10/10 00:00:00</v>
      </c>
      <c r="M922" t="str">
        <f t="shared" si="383"/>
        <v>2018/08/11 13:35:04</v>
      </c>
      <c r="N922" t="str">
        <f>("2001")</f>
        <v>2001</v>
      </c>
      <c r="O922" t="str">
        <f t="shared" si="375"/>
        <v>4F西文書庫 4F Western Language Books</v>
      </c>
      <c r="P922" t="s">
        <v>64</v>
      </c>
      <c r="W922" t="str">
        <f t="shared" si="370"/>
        <v>美國國會圖書分類法</v>
      </c>
      <c r="Y922" t="str">
        <f>("HF5548.4.M525")</f>
        <v>HF5548.4.M525</v>
      </c>
      <c r="Z922" t="str">
        <f t="shared" si="385"/>
        <v>2018/08/11 13:35:04</v>
      </c>
      <c r="AA922" t="str">
        <f t="shared" si="376"/>
        <v>catc</v>
      </c>
      <c r="AC922" t="str">
        <f>("L664")</f>
        <v>L664</v>
      </c>
      <c r="AE922" t="str">
        <f t="shared" si="377"/>
        <v>c.1</v>
      </c>
      <c r="AF922" t="str">
        <f t="shared" si="378"/>
        <v>1.可借圖書</v>
      </c>
      <c r="AG922" t="str">
        <f t="shared" si="379"/>
        <v>在架</v>
      </c>
      <c r="AI922" t="s">
        <v>65</v>
      </c>
      <c r="AK922" t="str">
        <f t="shared" si="380"/>
        <v>一般(Normal)</v>
      </c>
      <c r="AO922" t="s">
        <v>65</v>
      </c>
      <c r="AS922" t="str">
        <f>("c2001. ")</f>
        <v xml:space="preserve">c2001. </v>
      </c>
      <c r="AT922" t="str">
        <f t="shared" si="381"/>
        <v>catc</v>
      </c>
    </row>
    <row r="923" spans="1:46" x14ac:dyDescent="0.25">
      <c r="A923">
        <v>912</v>
      </c>
      <c r="B923" t="str">
        <f>("289746")</f>
        <v>289746</v>
      </c>
      <c r="C923" t="str">
        <f>("W00002948")</f>
        <v>W00002948</v>
      </c>
      <c r="D923" t="str">
        <f>("Designing for scalability with Microsoft Windows DNA / ")</f>
        <v xml:space="preserve">Designing for scalability with Microsoft Windows DNA / </v>
      </c>
      <c r="E923" t="str">
        <f>("Sundblad, Sten, 1939- ")</f>
        <v xml:space="preserve">Sundblad, Sten, 1939- </v>
      </c>
      <c r="F923" t="str">
        <f>("Microsoft Press, ")</f>
        <v xml:space="preserve">Microsoft Press, </v>
      </c>
      <c r="H923" t="str">
        <f t="shared" si="382"/>
        <v>圖書 book</v>
      </c>
      <c r="I923" t="str">
        <f>("QA76.9.D5 S958 2000")</f>
        <v>QA76.9.D5 S958 2000</v>
      </c>
      <c r="J923" t="str">
        <f>("0735609683")</f>
        <v>0735609683</v>
      </c>
      <c r="K923" t="str">
        <f>("1400")</f>
        <v>1400</v>
      </c>
      <c r="L923" t="str">
        <f t="shared" si="384"/>
        <v>2001/10/10 00:00:00</v>
      </c>
      <c r="M923" t="str">
        <f t="shared" ref="M923:M931" si="386">("2018/08/11 13:35:05")</f>
        <v>2018/08/11 13:35:05</v>
      </c>
      <c r="N923" t="str">
        <f>("2000")</f>
        <v>2000</v>
      </c>
      <c r="O923" t="str">
        <f t="shared" si="375"/>
        <v>4F西文書庫 4F Western Language Books</v>
      </c>
      <c r="P923" t="s">
        <v>64</v>
      </c>
      <c r="W923" t="str">
        <f t="shared" si="370"/>
        <v>美國國會圖書分類法</v>
      </c>
      <c r="Y923" t="str">
        <f>("QA76.9.D5")</f>
        <v>QA76.9.D5</v>
      </c>
      <c r="Z923" t="str">
        <f t="shared" si="385"/>
        <v>2018/08/11 13:35:04</v>
      </c>
      <c r="AA923" t="str">
        <f t="shared" si="376"/>
        <v>catc</v>
      </c>
      <c r="AC923" t="str">
        <f>("S958")</f>
        <v>S958</v>
      </c>
      <c r="AE923" t="str">
        <f t="shared" si="377"/>
        <v>c.1</v>
      </c>
      <c r="AF923" t="str">
        <f t="shared" si="378"/>
        <v>1.可借圖書</v>
      </c>
      <c r="AG923" t="str">
        <f t="shared" si="379"/>
        <v>在架</v>
      </c>
      <c r="AI923" t="s">
        <v>65</v>
      </c>
      <c r="AK923" t="str">
        <f t="shared" si="380"/>
        <v>一般(Normal)</v>
      </c>
      <c r="AO923" t="s">
        <v>65</v>
      </c>
      <c r="AS923" t="str">
        <f>("2000. ")</f>
        <v xml:space="preserve">2000. </v>
      </c>
      <c r="AT923" t="str">
        <f t="shared" si="381"/>
        <v>catc</v>
      </c>
    </row>
    <row r="924" spans="1:46" x14ac:dyDescent="0.25">
      <c r="A924">
        <v>913</v>
      </c>
      <c r="B924" t="str">
        <f>("289747")</f>
        <v>289747</v>
      </c>
      <c r="C924" t="str">
        <f>("W00002949")</f>
        <v>W00002949</v>
      </c>
      <c r="D924" t="str">
        <f>("Java server and servlets : building portable web applications / ")</f>
        <v xml:space="preserve">Java server and servlets : building portable web applications / </v>
      </c>
      <c r="E924" t="str">
        <f>("Rossbach, Peter, 1965- ")</f>
        <v xml:space="preserve">Rossbach, Peter, 1965- </v>
      </c>
      <c r="F924" t="str">
        <f>("Addison-Wesley, ")</f>
        <v xml:space="preserve">Addison-Wesley, </v>
      </c>
      <c r="H924" t="str">
        <f t="shared" si="382"/>
        <v>圖書 book</v>
      </c>
      <c r="I924" t="str">
        <f>("QA76.73.J38 R823 2000")</f>
        <v>QA76.73.J38 R823 2000</v>
      </c>
      <c r="J924" t="str">
        <f>("0201674912")</f>
        <v>0201674912</v>
      </c>
      <c r="K924" t="str">
        <f>("1264")</f>
        <v>1264</v>
      </c>
      <c r="L924" t="str">
        <f t="shared" si="384"/>
        <v>2001/10/10 00:00:00</v>
      </c>
      <c r="M924" t="str">
        <f t="shared" si="386"/>
        <v>2018/08/11 13:35:05</v>
      </c>
      <c r="N924" t="str">
        <f>("2000")</f>
        <v>2000</v>
      </c>
      <c r="O924" t="str">
        <f t="shared" si="375"/>
        <v>4F西文書庫 4F Western Language Books</v>
      </c>
      <c r="P924" t="s">
        <v>64</v>
      </c>
      <c r="S924" t="str">
        <f>("p. cm. ")</f>
        <v xml:space="preserve">p. cm. </v>
      </c>
      <c r="W924" t="str">
        <f t="shared" si="370"/>
        <v>美國國會圖書分類法</v>
      </c>
      <c r="Y924" t="str">
        <f>("QA76.73.J38")</f>
        <v>QA76.73.J38</v>
      </c>
      <c r="Z924" t="str">
        <f t="shared" ref="Z924:Z931" si="387">("2018/08/11 13:35:05")</f>
        <v>2018/08/11 13:35:05</v>
      </c>
      <c r="AA924" t="str">
        <f t="shared" si="376"/>
        <v>catc</v>
      </c>
      <c r="AC924" t="str">
        <f>("R823")</f>
        <v>R823</v>
      </c>
      <c r="AE924" t="str">
        <f t="shared" si="377"/>
        <v>c.1</v>
      </c>
      <c r="AF924" t="str">
        <f t="shared" si="378"/>
        <v>1.可借圖書</v>
      </c>
      <c r="AG924" t="str">
        <f t="shared" si="379"/>
        <v>在架</v>
      </c>
      <c r="AI924" t="s">
        <v>65</v>
      </c>
      <c r="AK924" t="str">
        <f t="shared" si="380"/>
        <v>一般(Normal)</v>
      </c>
      <c r="AO924" t="s">
        <v>65</v>
      </c>
      <c r="AS924" t="str">
        <f>("2000. ")</f>
        <v xml:space="preserve">2000. </v>
      </c>
      <c r="AT924" t="str">
        <f t="shared" si="381"/>
        <v>catc</v>
      </c>
    </row>
    <row r="925" spans="1:46" x14ac:dyDescent="0.25">
      <c r="A925">
        <v>914</v>
      </c>
      <c r="B925" t="str">
        <f>("289748")</f>
        <v>289748</v>
      </c>
      <c r="C925" t="str">
        <f>("W00002950")</f>
        <v>W00002950</v>
      </c>
      <c r="D925" t="str">
        <f>("AutoCad 2000 in a nutshell : a command reference guide / ")</f>
        <v xml:space="preserve">AutoCad 2000 in a nutshell : a command reference guide / </v>
      </c>
      <c r="E925" t="str">
        <f>("Kent, Dorothy, 1955- ")</f>
        <v xml:space="preserve">Kent, Dorothy, 1955- </v>
      </c>
      <c r="F925" t="str">
        <f>("O'Reilly, ")</f>
        <v xml:space="preserve">O'Reilly, </v>
      </c>
      <c r="H925" t="str">
        <f t="shared" si="382"/>
        <v>圖書 book</v>
      </c>
      <c r="I925" t="str">
        <f>("T385 K37 2000")</f>
        <v>T385 K37 2000</v>
      </c>
      <c r="J925" t="str">
        <f>("1565926900")</f>
        <v>1565926900</v>
      </c>
      <c r="K925" t="str">
        <f>("840")</f>
        <v>840</v>
      </c>
      <c r="L925" t="str">
        <f t="shared" si="384"/>
        <v>2001/10/10 00:00:00</v>
      </c>
      <c r="M925" t="str">
        <f t="shared" si="386"/>
        <v>2018/08/11 13:35:05</v>
      </c>
      <c r="N925" t="str">
        <f>("2000")</f>
        <v>2000</v>
      </c>
      <c r="O925" t="str">
        <f t="shared" si="375"/>
        <v>4F西文書庫 4F Western Language Books</v>
      </c>
      <c r="P925" t="s">
        <v>64</v>
      </c>
      <c r="W925" t="str">
        <f t="shared" si="370"/>
        <v>美國國會圖書分類法</v>
      </c>
      <c r="Y925" t="str">
        <f>("T385")</f>
        <v>T385</v>
      </c>
      <c r="Z925" t="str">
        <f t="shared" si="387"/>
        <v>2018/08/11 13:35:05</v>
      </c>
      <c r="AA925" t="str">
        <f t="shared" si="376"/>
        <v>catc</v>
      </c>
      <c r="AC925" t="str">
        <f>("K37")</f>
        <v>K37</v>
      </c>
      <c r="AE925" t="str">
        <f t="shared" si="377"/>
        <v>c.1</v>
      </c>
      <c r="AF925" t="str">
        <f t="shared" si="378"/>
        <v>1.可借圖書</v>
      </c>
      <c r="AG925" t="str">
        <f t="shared" si="379"/>
        <v>在架</v>
      </c>
      <c r="AI925" t="s">
        <v>65</v>
      </c>
      <c r="AK925" t="str">
        <f t="shared" si="380"/>
        <v>一般(Normal)</v>
      </c>
      <c r="AO925" t="s">
        <v>65</v>
      </c>
      <c r="AS925" t="str">
        <f>("2000. ")</f>
        <v xml:space="preserve">2000. </v>
      </c>
      <c r="AT925" t="str">
        <f t="shared" si="381"/>
        <v>catc</v>
      </c>
    </row>
    <row r="926" spans="1:46" x14ac:dyDescent="0.25">
      <c r="A926">
        <v>915</v>
      </c>
      <c r="B926" t="str">
        <f>("289749")</f>
        <v>289749</v>
      </c>
      <c r="C926" t="str">
        <f>("W00002951")</f>
        <v>W00002951</v>
      </c>
      <c r="D926" t="str">
        <f>("Programming Win32 Under the API/ ")</f>
        <v xml:space="preserve">Programming Win32 Under the API/ </v>
      </c>
      <c r="E926" t="str">
        <f>("Villani,Pat")</f>
        <v>Villani,Pat</v>
      </c>
      <c r="F926" t="str">
        <f>("CMP Books, ")</f>
        <v xml:space="preserve">CMP Books, </v>
      </c>
      <c r="H926" t="str">
        <f t="shared" si="382"/>
        <v>圖書 book</v>
      </c>
      <c r="I926" t="str">
        <f>("TH2275 V716 2001")</f>
        <v>TH2275 V716 2001</v>
      </c>
      <c r="J926" t="str">
        <f>("1578200679")</f>
        <v>1578200679</v>
      </c>
      <c r="K926" t="str">
        <f>("1120")</f>
        <v>1120</v>
      </c>
      <c r="L926" t="str">
        <f t="shared" si="384"/>
        <v>2001/10/10 00:00:00</v>
      </c>
      <c r="M926" t="str">
        <f t="shared" si="386"/>
        <v>2018/08/11 13:35:05</v>
      </c>
      <c r="N926" t="str">
        <f>("2001")</f>
        <v>2001</v>
      </c>
      <c r="O926" t="str">
        <f t="shared" si="375"/>
        <v>4F西文書庫 4F Western Language Books</v>
      </c>
      <c r="P926" t="s">
        <v>64</v>
      </c>
      <c r="W926" t="str">
        <f t="shared" si="370"/>
        <v>美國國會圖書分類法</v>
      </c>
      <c r="Y926" t="str">
        <f>("TH2275")</f>
        <v>TH2275</v>
      </c>
      <c r="Z926" t="str">
        <f t="shared" si="387"/>
        <v>2018/08/11 13:35:05</v>
      </c>
      <c r="AA926" t="str">
        <f t="shared" si="376"/>
        <v>catc</v>
      </c>
      <c r="AC926" t="str">
        <f>("V716")</f>
        <v>V716</v>
      </c>
      <c r="AE926" t="str">
        <f t="shared" si="377"/>
        <v>c.1</v>
      </c>
      <c r="AF926" t="str">
        <f t="shared" si="378"/>
        <v>1.可借圖書</v>
      </c>
      <c r="AG926" t="str">
        <f t="shared" si="379"/>
        <v>在架</v>
      </c>
      <c r="AI926" t="s">
        <v>65</v>
      </c>
      <c r="AK926" t="str">
        <f t="shared" si="380"/>
        <v>一般(Normal)</v>
      </c>
      <c r="AO926" t="s">
        <v>65</v>
      </c>
      <c r="AS926" t="str">
        <f>("c2001.")</f>
        <v>c2001.</v>
      </c>
      <c r="AT926" t="str">
        <f t="shared" si="381"/>
        <v>catc</v>
      </c>
    </row>
    <row r="927" spans="1:46" x14ac:dyDescent="0.25">
      <c r="A927">
        <v>916</v>
      </c>
      <c r="B927" t="str">
        <f>("289750")</f>
        <v>289750</v>
      </c>
      <c r="C927" t="str">
        <f>("W00002952")</f>
        <v>W00002952</v>
      </c>
      <c r="D927" t="str">
        <f>("Inside server-based applications / ")</f>
        <v xml:space="preserve">Inside server-based applications / </v>
      </c>
      <c r="E927" t="str">
        <f>("Reilly, Douglas J. ")</f>
        <v xml:space="preserve">Reilly, Douglas J. </v>
      </c>
      <c r="F927" t="str">
        <f>("Microsoft Press, ")</f>
        <v xml:space="preserve">Microsoft Press, </v>
      </c>
      <c r="H927" t="str">
        <f t="shared" si="382"/>
        <v>圖書 book</v>
      </c>
      <c r="I927" t="str">
        <f>("QA76.9.C55 R362 2000")</f>
        <v>QA76.9.C55 R362 2000</v>
      </c>
      <c r="J927" t="str">
        <f>("1572318171")</f>
        <v>1572318171</v>
      </c>
      <c r="K927" t="str">
        <f>("1400")</f>
        <v>1400</v>
      </c>
      <c r="L927" t="str">
        <f t="shared" si="384"/>
        <v>2001/10/10 00:00:00</v>
      </c>
      <c r="M927" t="str">
        <f t="shared" si="386"/>
        <v>2018/08/11 13:35:05</v>
      </c>
      <c r="N927" t="str">
        <f>("2000")</f>
        <v>2000</v>
      </c>
      <c r="O927" t="str">
        <f t="shared" si="375"/>
        <v>4F西文書庫 4F Western Language Books</v>
      </c>
      <c r="P927" t="s">
        <v>64</v>
      </c>
      <c r="W927" t="str">
        <f t="shared" si="370"/>
        <v>美國國會圖書分類法</v>
      </c>
      <c r="Y927" t="str">
        <f>("QA76.9.C55")</f>
        <v>QA76.9.C55</v>
      </c>
      <c r="Z927" t="str">
        <f t="shared" si="387"/>
        <v>2018/08/11 13:35:05</v>
      </c>
      <c r="AA927" t="str">
        <f t="shared" si="376"/>
        <v>catc</v>
      </c>
      <c r="AC927" t="str">
        <f>("R362")</f>
        <v>R362</v>
      </c>
      <c r="AE927" t="str">
        <f t="shared" si="377"/>
        <v>c.1</v>
      </c>
      <c r="AF927" t="str">
        <f t="shared" si="378"/>
        <v>1.可借圖書</v>
      </c>
      <c r="AG927" t="str">
        <f t="shared" si="379"/>
        <v>在架</v>
      </c>
      <c r="AI927" t="s">
        <v>65</v>
      </c>
      <c r="AK927" t="str">
        <f t="shared" si="380"/>
        <v>一般(Normal)</v>
      </c>
      <c r="AO927" t="s">
        <v>65</v>
      </c>
      <c r="AS927" t="str">
        <f>("c2000. ")</f>
        <v xml:space="preserve">c2000. </v>
      </c>
      <c r="AT927" t="str">
        <f t="shared" si="381"/>
        <v>catc</v>
      </c>
    </row>
    <row r="928" spans="1:46" x14ac:dyDescent="0.25">
      <c r="A928">
        <v>917</v>
      </c>
      <c r="B928" t="str">
        <f>("289751")</f>
        <v>289751</v>
      </c>
      <c r="C928" t="str">
        <f>("W00002953")</f>
        <v>W00002953</v>
      </c>
      <c r="D928" t="str">
        <f>("Javascript 1.5 by example / ")</f>
        <v xml:space="preserve">Javascript 1.5 by example / </v>
      </c>
      <c r="E928" t="str">
        <f>("Kingsley-Hughes, Adrian. ")</f>
        <v xml:space="preserve">Kingsley-Hughes, Adrian. </v>
      </c>
      <c r="F928" t="str">
        <f>("Que, ")</f>
        <v xml:space="preserve">Que, </v>
      </c>
      <c r="H928" t="str">
        <f t="shared" si="382"/>
        <v>圖書 book</v>
      </c>
      <c r="I928" t="str">
        <f>("DS646.21 K55 2001")</f>
        <v>DS646.21 K55 2001</v>
      </c>
      <c r="J928" t="str">
        <f>("0789724995")</f>
        <v>0789724995</v>
      </c>
      <c r="K928" t="str">
        <f>("840")</f>
        <v>840</v>
      </c>
      <c r="L928" t="str">
        <f t="shared" si="384"/>
        <v>2001/10/10 00:00:00</v>
      </c>
      <c r="M928" t="str">
        <f t="shared" si="386"/>
        <v>2018/08/11 13:35:05</v>
      </c>
      <c r="N928" t="str">
        <f>("2001")</f>
        <v>2001</v>
      </c>
      <c r="O928" t="str">
        <f t="shared" si="375"/>
        <v>4F西文書庫 4F Western Language Books</v>
      </c>
      <c r="P928" t="s">
        <v>64</v>
      </c>
      <c r="W928" t="str">
        <f t="shared" si="370"/>
        <v>美國國會圖書分類法</v>
      </c>
      <c r="Y928" t="str">
        <f>("DS646.21")</f>
        <v>DS646.21</v>
      </c>
      <c r="Z928" t="str">
        <f t="shared" si="387"/>
        <v>2018/08/11 13:35:05</v>
      </c>
      <c r="AA928" t="str">
        <f t="shared" si="376"/>
        <v>catc</v>
      </c>
      <c r="AC928" t="str">
        <f>("K55")</f>
        <v>K55</v>
      </c>
      <c r="AE928" t="str">
        <f t="shared" si="377"/>
        <v>c.1</v>
      </c>
      <c r="AF928" t="str">
        <f t="shared" si="378"/>
        <v>1.可借圖書</v>
      </c>
      <c r="AG928" t="str">
        <f t="shared" si="379"/>
        <v>在架</v>
      </c>
      <c r="AI928" t="s">
        <v>65</v>
      </c>
      <c r="AK928" t="str">
        <f t="shared" si="380"/>
        <v>一般(Normal)</v>
      </c>
      <c r="AO928" t="s">
        <v>65</v>
      </c>
      <c r="AS928" t="str">
        <f>("c2001. ")</f>
        <v xml:space="preserve">c2001. </v>
      </c>
      <c r="AT928" t="str">
        <f t="shared" si="381"/>
        <v>catc</v>
      </c>
    </row>
    <row r="929" spans="1:46" x14ac:dyDescent="0.25">
      <c r="A929">
        <v>918</v>
      </c>
      <c r="B929" t="str">
        <f>("289752")</f>
        <v>289752</v>
      </c>
      <c r="C929" t="str">
        <f>("W00002954")</f>
        <v>W00002954</v>
      </c>
      <c r="D929" t="str">
        <f>("The eProcess edge :creating customer value and business wealth in the Internet era /")</f>
        <v>The eProcess edge :creating customer value and business wealth in the Internet era /</v>
      </c>
      <c r="E929" t="str">
        <f>("Keen, Peter")</f>
        <v>Keen, Peter</v>
      </c>
      <c r="F929" t="str">
        <f>("Osborne/McGraw-Hill,")</f>
        <v>Osborne/McGraw-Hill,</v>
      </c>
      <c r="H929" t="str">
        <f t="shared" si="382"/>
        <v>圖書 book</v>
      </c>
      <c r="I929" t="str">
        <f>("HD30.28 K26 2000")</f>
        <v>HD30.28 K26 2000</v>
      </c>
      <c r="J929" t="str">
        <f>("0072126264")</f>
        <v>0072126264</v>
      </c>
      <c r="K929" t="str">
        <f>("840")</f>
        <v>840</v>
      </c>
      <c r="L929" t="str">
        <f t="shared" si="384"/>
        <v>2001/10/10 00:00:00</v>
      </c>
      <c r="M929" t="str">
        <f t="shared" si="386"/>
        <v>2018/08/11 13:35:05</v>
      </c>
      <c r="N929" t="str">
        <f>("2000")</f>
        <v>2000</v>
      </c>
      <c r="O929" t="str">
        <f t="shared" si="375"/>
        <v>4F西文書庫 4F Western Language Books</v>
      </c>
      <c r="P929" t="s">
        <v>64</v>
      </c>
      <c r="W929" t="str">
        <f t="shared" si="370"/>
        <v>美國國會圖書分類法</v>
      </c>
      <c r="Y929" t="str">
        <f>("HD30.28")</f>
        <v>HD30.28</v>
      </c>
      <c r="Z929" t="str">
        <f t="shared" si="387"/>
        <v>2018/08/11 13:35:05</v>
      </c>
      <c r="AA929" t="str">
        <f t="shared" si="376"/>
        <v>catc</v>
      </c>
      <c r="AC929" t="str">
        <f>("K26")</f>
        <v>K26</v>
      </c>
      <c r="AE929" t="str">
        <f t="shared" si="377"/>
        <v>c.1</v>
      </c>
      <c r="AF929" t="str">
        <f t="shared" si="378"/>
        <v>1.可借圖書</v>
      </c>
      <c r="AG929" t="str">
        <f t="shared" si="379"/>
        <v>在架</v>
      </c>
      <c r="AI929" t="s">
        <v>65</v>
      </c>
      <c r="AK929" t="str">
        <f t="shared" si="380"/>
        <v>一般(Normal)</v>
      </c>
      <c r="AO929" t="s">
        <v>65</v>
      </c>
      <c r="AS929" t="str">
        <f>("c2000")</f>
        <v>c2000</v>
      </c>
      <c r="AT929" t="str">
        <f t="shared" si="381"/>
        <v>catc</v>
      </c>
    </row>
    <row r="930" spans="1:46" x14ac:dyDescent="0.25">
      <c r="A930">
        <v>919</v>
      </c>
      <c r="B930" t="str">
        <f>("289764")</f>
        <v>289764</v>
      </c>
      <c r="C930" t="str">
        <f>("W00002955")</f>
        <v>W00002955</v>
      </c>
      <c r="D930" t="str">
        <f>("Effective business writing : principles and applications / ")</f>
        <v xml:space="preserve">Effective business writing : principles and applications / </v>
      </c>
      <c r="E930" t="str">
        <f>("Morton, Gerald W. ")</f>
        <v xml:space="preserve">Morton, Gerald W. </v>
      </c>
      <c r="F930" t="str">
        <f>("Harcourt Brace College Pub., ")</f>
        <v xml:space="preserve">Harcourt Brace College Pub., </v>
      </c>
      <c r="H930" t="str">
        <f t="shared" si="382"/>
        <v>圖書 book</v>
      </c>
      <c r="I930" t="str">
        <f>("HF5718.3 M891 1996")</f>
        <v>HF5718.3 M891 1996</v>
      </c>
      <c r="J930" t="str">
        <f>("0155016350")</f>
        <v>0155016350</v>
      </c>
      <c r="K930" t="str">
        <f>("330")</f>
        <v>330</v>
      </c>
      <c r="L930" t="str">
        <f t="shared" si="384"/>
        <v>2001/10/10 00:00:00</v>
      </c>
      <c r="M930" t="str">
        <f t="shared" si="386"/>
        <v>2018/08/11 13:35:05</v>
      </c>
      <c r="N930" t="str">
        <f>("1996")</f>
        <v>1996</v>
      </c>
      <c r="O930" t="str">
        <f t="shared" si="375"/>
        <v>4F西文書庫 4F Western Language Books</v>
      </c>
      <c r="P930" t="s">
        <v>64</v>
      </c>
      <c r="W930" t="str">
        <f t="shared" si="370"/>
        <v>美國國會圖書分類法</v>
      </c>
      <c r="Y930" t="str">
        <f>("HF5718.3")</f>
        <v>HF5718.3</v>
      </c>
      <c r="Z930" t="str">
        <f t="shared" si="387"/>
        <v>2018/08/11 13:35:05</v>
      </c>
      <c r="AA930" t="str">
        <f t="shared" si="376"/>
        <v>catc</v>
      </c>
      <c r="AC930" t="str">
        <f>("M891")</f>
        <v>M891</v>
      </c>
      <c r="AE930" t="str">
        <f t="shared" si="377"/>
        <v>c.1</v>
      </c>
      <c r="AF930" t="str">
        <f t="shared" si="378"/>
        <v>1.可借圖書</v>
      </c>
      <c r="AG930" t="str">
        <f t="shared" si="379"/>
        <v>在架</v>
      </c>
      <c r="AI930" t="s">
        <v>65</v>
      </c>
      <c r="AK930" t="str">
        <f t="shared" si="380"/>
        <v>一般(Normal)</v>
      </c>
      <c r="AO930" t="s">
        <v>65</v>
      </c>
      <c r="AS930" t="str">
        <f>("c1996. ")</f>
        <v xml:space="preserve">c1996. </v>
      </c>
      <c r="AT930" t="str">
        <f t="shared" si="381"/>
        <v>catc</v>
      </c>
    </row>
    <row r="931" spans="1:46" x14ac:dyDescent="0.25">
      <c r="A931">
        <v>920</v>
      </c>
      <c r="B931" t="str">
        <f>("289765")</f>
        <v>289765</v>
      </c>
      <c r="C931" t="str">
        <f>("W00002956")</f>
        <v>W00002956</v>
      </c>
      <c r="D931" t="str">
        <f>("A dictionary of linguistics and phonetics / ")</f>
        <v xml:space="preserve">A dictionary of linguistics and phonetics / </v>
      </c>
      <c r="E931" t="str">
        <f>("Crystal, David, 1941- ")</f>
        <v xml:space="preserve">Crystal, David, 1941- </v>
      </c>
      <c r="F931" t="str">
        <f>("Blackwell, ")</f>
        <v xml:space="preserve">Blackwell, </v>
      </c>
      <c r="G931" t="str">
        <f>("4th ed. ")</f>
        <v xml:space="preserve">4th ed. </v>
      </c>
      <c r="H931" t="str">
        <f>("參考書 Reference")</f>
        <v>參考書 Reference</v>
      </c>
      <c r="I931" t="str">
        <f>("R P29 C883 1997")</f>
        <v>R P29 C883 1997</v>
      </c>
      <c r="J931" t="str">
        <f>("0631200975")</f>
        <v>0631200975</v>
      </c>
      <c r="K931" t="str">
        <f>("1008")</f>
        <v>1008</v>
      </c>
      <c r="L931" t="str">
        <f t="shared" si="384"/>
        <v>2001/10/10 00:00:00</v>
      </c>
      <c r="M931" t="str">
        <f t="shared" si="386"/>
        <v>2018/08/11 13:35:05</v>
      </c>
      <c r="N931" t="str">
        <f>("1997")</f>
        <v>1997</v>
      </c>
      <c r="O931" t="str">
        <f>("2F西文參考書庫 2F Western Reference Resources")</f>
        <v>2F西文參考書庫 2F Western Reference Resources</v>
      </c>
      <c r="P931" t="s">
        <v>64</v>
      </c>
      <c r="W931" t="str">
        <f t="shared" si="370"/>
        <v>美國國會圖書分類法</v>
      </c>
      <c r="Y931" t="str">
        <f>("P29")</f>
        <v>P29</v>
      </c>
      <c r="Z931" t="str">
        <f t="shared" si="387"/>
        <v>2018/08/11 13:35:05</v>
      </c>
      <c r="AA931" t="str">
        <f t="shared" si="376"/>
        <v>catc</v>
      </c>
      <c r="AC931" t="str">
        <f>("C883")</f>
        <v>C883</v>
      </c>
      <c r="AE931" t="str">
        <f t="shared" si="377"/>
        <v>c.1</v>
      </c>
      <c r="AF931" t="str">
        <f>("參考工具書")</f>
        <v>參考工具書</v>
      </c>
      <c r="AG931" t="str">
        <f>("報銷中")</f>
        <v>報銷中</v>
      </c>
      <c r="AI931" t="s">
        <v>66</v>
      </c>
      <c r="AK931" t="str">
        <f t="shared" si="380"/>
        <v>一般(Normal)</v>
      </c>
      <c r="AO931" t="s">
        <v>65</v>
      </c>
      <c r="AS931" t="str">
        <f>("1997. ")</f>
        <v xml:space="preserve">1997. </v>
      </c>
      <c r="AT931" t="str">
        <f t="shared" si="381"/>
        <v>catc</v>
      </c>
    </row>
    <row r="932" spans="1:46" x14ac:dyDescent="0.25">
      <c r="A932">
        <v>921</v>
      </c>
      <c r="B932" t="str">
        <f>("288040")</f>
        <v>288040</v>
      </c>
      <c r="C932" t="str">
        <f>("W00002957")</f>
        <v>W00002957</v>
      </c>
      <c r="D932" t="str">
        <f>("Financial innovation / ")</f>
        <v xml:space="preserve">Financial innovation / </v>
      </c>
      <c r="E932" t="str">
        <f>("Molyneux, Philip. ")</f>
        <v xml:space="preserve">Molyneux, Philip. </v>
      </c>
      <c r="F932" t="str">
        <f>("Wiley, ")</f>
        <v xml:space="preserve">Wiley, </v>
      </c>
      <c r="H932" t="str">
        <f t="shared" ref="H932:H970" si="388">("圖書 book")</f>
        <v>圖書 book</v>
      </c>
      <c r="I932" t="str">
        <f>("HG176.7 M731 1999")</f>
        <v>HG176.7 M731 1999</v>
      </c>
      <c r="J932" t="str">
        <f>("0471986186")</f>
        <v>0471986186</v>
      </c>
      <c r="K932" t="str">
        <f>("1176")</f>
        <v>1176</v>
      </c>
      <c r="L932" t="str">
        <f t="shared" si="384"/>
        <v>2001/10/10 00:00:00</v>
      </c>
      <c r="M932" t="str">
        <f>("2018/08/11 13:32:19")</f>
        <v>2018/08/11 13:32:19</v>
      </c>
      <c r="N932" t="str">
        <f>("1999")</f>
        <v>1999</v>
      </c>
      <c r="O932" t="str">
        <f t="shared" ref="O932:O943" si="389">("4F西文書庫 4F Western Language Books")</f>
        <v>4F西文書庫 4F Western Language Books</v>
      </c>
      <c r="P932" t="s">
        <v>64</v>
      </c>
      <c r="S932" t="str">
        <f>("301p. ;")</f>
        <v>301p. ;</v>
      </c>
      <c r="U932" t="str">
        <f>("23cm. ")</f>
        <v xml:space="preserve">23cm. </v>
      </c>
      <c r="W932" t="str">
        <f t="shared" si="370"/>
        <v>美國國會圖書分類法</v>
      </c>
      <c r="Y932" t="str">
        <f>("HG176.7")</f>
        <v>HG176.7</v>
      </c>
      <c r="Z932" t="str">
        <f>("2018/08/11 13:32:19")</f>
        <v>2018/08/11 13:32:19</v>
      </c>
      <c r="AA932" t="str">
        <f t="shared" si="376"/>
        <v>catc</v>
      </c>
      <c r="AC932" t="str">
        <f>("M731")</f>
        <v>M731</v>
      </c>
      <c r="AE932" t="str">
        <f t="shared" si="377"/>
        <v>c.1</v>
      </c>
      <c r="AF932" t="str">
        <f t="shared" ref="AF932:AF943" si="390">("1.可借圖書")</f>
        <v>1.可借圖書</v>
      </c>
      <c r="AG932" t="str">
        <f t="shared" ref="AG932:AG943" si="391">("在架")</f>
        <v>在架</v>
      </c>
      <c r="AI932" t="s">
        <v>65</v>
      </c>
      <c r="AK932" t="str">
        <f t="shared" si="380"/>
        <v>一般(Normal)</v>
      </c>
      <c r="AO932" t="s">
        <v>65</v>
      </c>
      <c r="AS932" t="str">
        <f>("1999. ")</f>
        <v xml:space="preserve">1999. </v>
      </c>
      <c r="AT932" t="str">
        <f t="shared" si="381"/>
        <v>catc</v>
      </c>
    </row>
    <row r="933" spans="1:46" x14ac:dyDescent="0.25">
      <c r="A933">
        <v>922</v>
      </c>
      <c r="B933" t="str">
        <f>("289766")</f>
        <v>289766</v>
      </c>
      <c r="C933" t="str">
        <f>("W00002958")</f>
        <v>W00002958</v>
      </c>
      <c r="D933" t="str">
        <f>("Business research for decision making / ")</f>
        <v xml:space="preserve">Business research for decision making / </v>
      </c>
      <c r="E933" t="str">
        <f>("Davis, Duane, 1950- ")</f>
        <v xml:space="preserve">Davis, Duane, 1950- </v>
      </c>
      <c r="F933" t="str">
        <f>("Duxbury Press, ")</f>
        <v xml:space="preserve">Duxbury Press, </v>
      </c>
      <c r="G933" t="str">
        <f>("5th ed. ")</f>
        <v xml:space="preserve">5th ed. </v>
      </c>
      <c r="H933" t="str">
        <f t="shared" si="388"/>
        <v>圖書 book</v>
      </c>
      <c r="I933" t="str">
        <f>("HD30.4 D261-3 1999")</f>
        <v>HD30.4 D261-3 1999</v>
      </c>
      <c r="J933" t="str">
        <f>("0534373976")</f>
        <v>0534373976</v>
      </c>
      <c r="K933" t="str">
        <f>("1104")</f>
        <v>1104</v>
      </c>
      <c r="L933" t="str">
        <f t="shared" si="384"/>
        <v>2001/10/10 00:00:00</v>
      </c>
      <c r="M933" t="str">
        <f>("2018/08/11 13:35:05")</f>
        <v>2018/08/11 13:35:05</v>
      </c>
      <c r="N933" t="str">
        <f>("1999")</f>
        <v>1999</v>
      </c>
      <c r="O933" t="str">
        <f t="shared" si="389"/>
        <v>4F西文書庫 4F Western Language Books</v>
      </c>
      <c r="P933" t="s">
        <v>64</v>
      </c>
      <c r="W933" t="str">
        <f t="shared" si="370"/>
        <v>美國國會圖書分類法</v>
      </c>
      <c r="Y933" t="str">
        <f>("HD30.4")</f>
        <v>HD30.4</v>
      </c>
      <c r="Z933" t="str">
        <f>("2018/08/11 13:35:05")</f>
        <v>2018/08/11 13:35:05</v>
      </c>
      <c r="AA933" t="str">
        <f t="shared" si="376"/>
        <v>catc</v>
      </c>
      <c r="AC933" t="str">
        <f>("D261-3")</f>
        <v>D261-3</v>
      </c>
      <c r="AE933" t="str">
        <f t="shared" si="377"/>
        <v>c.1</v>
      </c>
      <c r="AF933" t="str">
        <f t="shared" si="390"/>
        <v>1.可借圖書</v>
      </c>
      <c r="AG933" t="str">
        <f t="shared" si="391"/>
        <v>在架</v>
      </c>
      <c r="AI933" t="s">
        <v>65</v>
      </c>
      <c r="AK933" t="str">
        <f t="shared" si="380"/>
        <v>一般(Normal)</v>
      </c>
      <c r="AO933" t="s">
        <v>65</v>
      </c>
      <c r="AS933" t="str">
        <f>("c1999. ")</f>
        <v xml:space="preserve">c1999. </v>
      </c>
      <c r="AT933" t="str">
        <f t="shared" si="381"/>
        <v>catc</v>
      </c>
    </row>
    <row r="934" spans="1:46" x14ac:dyDescent="0.25">
      <c r="A934">
        <v>923</v>
      </c>
      <c r="B934" t="str">
        <f>("289767")</f>
        <v>289767</v>
      </c>
      <c r="C934" t="str">
        <f>("W00002959")</f>
        <v>W00002959</v>
      </c>
      <c r="D934" t="str">
        <f>("Business Games")</f>
        <v>Business Games</v>
      </c>
      <c r="E934" t="str">
        <f>("Jenny, Mawer ")</f>
        <v xml:space="preserve">Jenny, Mawer </v>
      </c>
      <c r="F934" t="str">
        <f>("LIP, ")</f>
        <v xml:space="preserve">LIP, </v>
      </c>
      <c r="H934" t="str">
        <f t="shared" si="388"/>
        <v>圖書 book</v>
      </c>
      <c r="I934" t="str">
        <f>("HF568.1 M462 1992")</f>
        <v>HF568.1 M462 1992</v>
      </c>
      <c r="J934" t="str">
        <f>("0906717981")</f>
        <v>0906717981</v>
      </c>
      <c r="K934" t="str">
        <f>("616")</f>
        <v>616</v>
      </c>
      <c r="L934" t="str">
        <f t="shared" si="384"/>
        <v>2001/10/10 00:00:00</v>
      </c>
      <c r="M934" t="str">
        <f>("2018/08/11 13:35:05")</f>
        <v>2018/08/11 13:35:05</v>
      </c>
      <c r="N934" t="str">
        <f>("1992")</f>
        <v>1992</v>
      </c>
      <c r="O934" t="str">
        <f t="shared" si="389"/>
        <v>4F西文書庫 4F Western Language Books</v>
      </c>
      <c r="P934" t="s">
        <v>64</v>
      </c>
      <c r="W934" t="str">
        <f t="shared" si="370"/>
        <v>美國國會圖書分類法</v>
      </c>
      <c r="Y934" t="str">
        <f>("HF568.1")</f>
        <v>HF568.1</v>
      </c>
      <c r="Z934" t="str">
        <f>("2018/08/11 13:35:05")</f>
        <v>2018/08/11 13:35:05</v>
      </c>
      <c r="AA934" t="str">
        <f t="shared" si="376"/>
        <v>catc</v>
      </c>
      <c r="AC934" t="str">
        <f>("M462")</f>
        <v>M462</v>
      </c>
      <c r="AE934" t="str">
        <f t="shared" si="377"/>
        <v>c.1</v>
      </c>
      <c r="AF934" t="str">
        <f t="shared" si="390"/>
        <v>1.可借圖書</v>
      </c>
      <c r="AG934" t="str">
        <f t="shared" si="391"/>
        <v>在架</v>
      </c>
      <c r="AI934" t="s">
        <v>65</v>
      </c>
      <c r="AK934" t="str">
        <f t="shared" si="380"/>
        <v>一般(Normal)</v>
      </c>
      <c r="AO934" t="s">
        <v>65</v>
      </c>
      <c r="AS934" t="str">
        <f>("1992.")</f>
        <v>1992.</v>
      </c>
      <c r="AT934" t="str">
        <f t="shared" si="381"/>
        <v>catc</v>
      </c>
    </row>
    <row r="935" spans="1:46" x14ac:dyDescent="0.25">
      <c r="A935">
        <v>924</v>
      </c>
      <c r="B935" t="str">
        <f>("289753")</f>
        <v>289753</v>
      </c>
      <c r="C935" t="str">
        <f>("W00002960")</f>
        <v>W00002960</v>
      </c>
      <c r="D935" t="str">
        <f>("Basics in pronunciation : intermediate practice for clear communication / ")</f>
        <v xml:space="preserve">Basics in pronunciation : intermediate practice for clear communication / </v>
      </c>
      <c r="E935" t="str">
        <f>("Lane, Linda ")</f>
        <v xml:space="preserve">Lane, Linda </v>
      </c>
      <c r="F935" t="str">
        <f>("Longman, ")</f>
        <v xml:space="preserve">Longman, </v>
      </c>
      <c r="H935" t="str">
        <f t="shared" si="388"/>
        <v>圖書 book</v>
      </c>
      <c r="I935" t="str">
        <f>("PE1128 L265 1997")</f>
        <v>PE1128 L265 1997</v>
      </c>
      <c r="J935" t="str">
        <f>("0201878062")</f>
        <v>0201878062</v>
      </c>
      <c r="K935" t="str">
        <f>("504")</f>
        <v>504</v>
      </c>
      <c r="L935" t="str">
        <f t="shared" si="384"/>
        <v>2001/10/10 00:00:00</v>
      </c>
      <c r="M935" t="str">
        <f t="shared" ref="M935:M941" si="392">("2018/08/11 13:35:06")</f>
        <v>2018/08/11 13:35:06</v>
      </c>
      <c r="N935" t="str">
        <f>("1997")</f>
        <v>1997</v>
      </c>
      <c r="O935" t="str">
        <f t="shared" si="389"/>
        <v>4F西文書庫 4F Western Language Books</v>
      </c>
      <c r="P935" t="s">
        <v>64</v>
      </c>
      <c r="W935" t="str">
        <f t="shared" si="370"/>
        <v>美國國會圖書分類法</v>
      </c>
      <c r="Y935" t="str">
        <f>("PE1128")</f>
        <v>PE1128</v>
      </c>
      <c r="Z935" t="str">
        <f t="shared" ref="Z935:Z941" si="393">("2018/08/11 13:35:06")</f>
        <v>2018/08/11 13:35:06</v>
      </c>
      <c r="AA935" t="str">
        <f t="shared" si="376"/>
        <v>catc</v>
      </c>
      <c r="AC935" t="str">
        <f>("L265")</f>
        <v>L265</v>
      </c>
      <c r="AE935" t="str">
        <f t="shared" si="377"/>
        <v>c.1</v>
      </c>
      <c r="AF935" t="str">
        <f t="shared" si="390"/>
        <v>1.可借圖書</v>
      </c>
      <c r="AG935" t="str">
        <f t="shared" si="391"/>
        <v>在架</v>
      </c>
      <c r="AI935" t="s">
        <v>65</v>
      </c>
      <c r="AK935" t="str">
        <f t="shared" si="380"/>
        <v>一般(Normal)</v>
      </c>
      <c r="AO935" t="s">
        <v>65</v>
      </c>
      <c r="AS935" t="str">
        <f>("c1997. ")</f>
        <v xml:space="preserve">c1997. </v>
      </c>
      <c r="AT935" t="str">
        <f t="shared" si="381"/>
        <v>catc</v>
      </c>
    </row>
    <row r="936" spans="1:46" x14ac:dyDescent="0.25">
      <c r="A936">
        <v>925</v>
      </c>
      <c r="B936" t="str">
        <f>("289754")</f>
        <v>289754</v>
      </c>
      <c r="C936" t="str">
        <f>("W00002961")</f>
        <v>W00002961</v>
      </c>
      <c r="D936" t="str">
        <f>("10 Steps Controlled Composition for Beginning and Intermediate Language Development")</f>
        <v>10 Steps Controlled Composition for Beginning and Intermediate Language Development</v>
      </c>
      <c r="E936" t="str">
        <f>("Gay Brookes")</f>
        <v>Gay Brookes</v>
      </c>
      <c r="H936" t="str">
        <f t="shared" si="388"/>
        <v>圖書 book</v>
      </c>
      <c r="I936" t="str">
        <f>("PE1128 B872 1996")</f>
        <v>PE1128 B872 1996</v>
      </c>
      <c r="J936" t="str">
        <f>("013456989X")</f>
        <v>013456989X</v>
      </c>
      <c r="K936" t="str">
        <f>("300")</f>
        <v>300</v>
      </c>
      <c r="L936" t="str">
        <f t="shared" si="384"/>
        <v>2001/10/10 00:00:00</v>
      </c>
      <c r="M936" t="str">
        <f t="shared" si="392"/>
        <v>2018/08/11 13:35:06</v>
      </c>
      <c r="N936" t="str">
        <f>("1996")</f>
        <v>1996</v>
      </c>
      <c r="O936" t="str">
        <f t="shared" si="389"/>
        <v>4F西文書庫 4F Western Language Books</v>
      </c>
      <c r="P936" t="s">
        <v>64</v>
      </c>
      <c r="W936" t="str">
        <f t="shared" si="370"/>
        <v>美國國會圖書分類法</v>
      </c>
      <c r="Y936" t="str">
        <f>("PE1128")</f>
        <v>PE1128</v>
      </c>
      <c r="Z936" t="str">
        <f t="shared" si="393"/>
        <v>2018/08/11 13:35:06</v>
      </c>
      <c r="AA936" t="str">
        <f t="shared" si="376"/>
        <v>catc</v>
      </c>
      <c r="AC936" t="str">
        <f>("B872")</f>
        <v>B872</v>
      </c>
      <c r="AE936" t="str">
        <f t="shared" si="377"/>
        <v>c.1</v>
      </c>
      <c r="AF936" t="str">
        <f t="shared" si="390"/>
        <v>1.可借圖書</v>
      </c>
      <c r="AG936" t="str">
        <f t="shared" si="391"/>
        <v>在架</v>
      </c>
      <c r="AI936" t="s">
        <v>65</v>
      </c>
      <c r="AK936" t="str">
        <f t="shared" si="380"/>
        <v>一般(Normal)</v>
      </c>
      <c r="AO936" t="s">
        <v>65</v>
      </c>
      <c r="AS936" t="str">
        <f>("c1996")</f>
        <v>c1996</v>
      </c>
      <c r="AT936" t="str">
        <f t="shared" si="381"/>
        <v>catc</v>
      </c>
    </row>
    <row r="937" spans="1:46" x14ac:dyDescent="0.25">
      <c r="A937">
        <v>926</v>
      </c>
      <c r="B937" t="str">
        <f>("289755")</f>
        <v>289755</v>
      </c>
      <c r="C937" t="str">
        <f>("W00002962")</f>
        <v>W00002962</v>
      </c>
      <c r="D937" t="str">
        <f>("26 Steps Controlled Composition for Intermediate and Advanced Language Development")</f>
        <v>26 Steps Controlled Composition for Intermediate and Advanced Language Development</v>
      </c>
      <c r="E937" t="str">
        <f>("Ann, Kunz Linda ")</f>
        <v xml:space="preserve">Ann, Kunz Linda </v>
      </c>
      <c r="F937" t="str">
        <f>("Prentice-Hill, ")</f>
        <v xml:space="preserve">Prentice-Hill, </v>
      </c>
      <c r="H937" t="str">
        <f t="shared" si="388"/>
        <v>圖書 book</v>
      </c>
      <c r="I937" t="str">
        <f>("PE1128 K95 1996")</f>
        <v>PE1128 K95 1996</v>
      </c>
      <c r="J937" t="str">
        <f>("0134587871")</f>
        <v>0134587871</v>
      </c>
      <c r="K937" t="str">
        <f>("336")</f>
        <v>336</v>
      </c>
      <c r="L937" t="str">
        <f t="shared" si="384"/>
        <v>2001/10/10 00:00:00</v>
      </c>
      <c r="M937" t="str">
        <f t="shared" si="392"/>
        <v>2018/08/11 13:35:06</v>
      </c>
      <c r="N937" t="str">
        <f>("1996")</f>
        <v>1996</v>
      </c>
      <c r="O937" t="str">
        <f t="shared" si="389"/>
        <v>4F西文書庫 4F Western Language Books</v>
      </c>
      <c r="P937" t="s">
        <v>64</v>
      </c>
      <c r="W937" t="str">
        <f t="shared" si="370"/>
        <v>美國國會圖書分類法</v>
      </c>
      <c r="Y937" t="str">
        <f>("PE1128")</f>
        <v>PE1128</v>
      </c>
      <c r="Z937" t="str">
        <f t="shared" si="393"/>
        <v>2018/08/11 13:35:06</v>
      </c>
      <c r="AA937" t="str">
        <f t="shared" si="376"/>
        <v>catc</v>
      </c>
      <c r="AC937" t="str">
        <f>("K95")</f>
        <v>K95</v>
      </c>
      <c r="AE937" t="str">
        <f t="shared" si="377"/>
        <v>c.1</v>
      </c>
      <c r="AF937" t="str">
        <f t="shared" si="390"/>
        <v>1.可借圖書</v>
      </c>
      <c r="AG937" t="str">
        <f t="shared" si="391"/>
        <v>在架</v>
      </c>
      <c r="AI937" t="s">
        <v>65</v>
      </c>
      <c r="AK937" t="str">
        <f t="shared" si="380"/>
        <v>一般(Normal)</v>
      </c>
      <c r="AO937" t="s">
        <v>65</v>
      </c>
      <c r="AS937" t="str">
        <f>("1996.")</f>
        <v>1996.</v>
      </c>
      <c r="AT937" t="str">
        <f t="shared" si="381"/>
        <v>catc</v>
      </c>
    </row>
    <row r="938" spans="1:46" x14ac:dyDescent="0.25">
      <c r="A938">
        <v>927</v>
      </c>
      <c r="B938" t="str">
        <f>("289756")</f>
        <v>289756</v>
      </c>
      <c r="C938" t="str">
        <f>("W00002963")</f>
        <v>W00002963</v>
      </c>
      <c r="D938" t="str">
        <f>("Discussions A-Z intermediate : a resource book of speaking activities / ")</f>
        <v xml:space="preserve">Discussions A-Z intermediate : a resource book of speaking activities / </v>
      </c>
      <c r="E938" t="str">
        <f>("Wallwork, Adrian. ")</f>
        <v xml:space="preserve">Wallwork, Adrian. </v>
      </c>
      <c r="F938" t="str">
        <f>("Cambridge University Press, ")</f>
        <v xml:space="preserve">Cambridge University Press, </v>
      </c>
      <c r="H938" t="str">
        <f t="shared" si="388"/>
        <v>圖書 book</v>
      </c>
      <c r="I938" t="str">
        <f>("PE1128 W187 1997")</f>
        <v>PE1128 W187 1997</v>
      </c>
      <c r="J938" t="str">
        <f>("0521559812;0521559804")</f>
        <v>0521559812;0521559804</v>
      </c>
      <c r="K938" t="str">
        <f>("1064")</f>
        <v>1064</v>
      </c>
      <c r="L938" t="str">
        <f t="shared" si="384"/>
        <v>2001/10/10 00:00:00</v>
      </c>
      <c r="M938" t="str">
        <f t="shared" si="392"/>
        <v>2018/08/11 13:35:06</v>
      </c>
      <c r="N938" t="str">
        <f>("1997")</f>
        <v>1997</v>
      </c>
      <c r="O938" t="str">
        <f t="shared" si="389"/>
        <v>4F西文書庫 4F Western Language Books</v>
      </c>
      <c r="P938" t="s">
        <v>64</v>
      </c>
      <c r="W938" t="str">
        <f t="shared" si="370"/>
        <v>美國國會圖書分類法</v>
      </c>
      <c r="Y938" t="str">
        <f>("PE1128")</f>
        <v>PE1128</v>
      </c>
      <c r="Z938" t="str">
        <f t="shared" si="393"/>
        <v>2018/08/11 13:35:06</v>
      </c>
      <c r="AA938" t="str">
        <f t="shared" si="376"/>
        <v>catc</v>
      </c>
      <c r="AC938" t="str">
        <f>("W187")</f>
        <v>W187</v>
      </c>
      <c r="AE938" t="str">
        <f t="shared" si="377"/>
        <v>c.1</v>
      </c>
      <c r="AF938" t="str">
        <f t="shared" si="390"/>
        <v>1.可借圖書</v>
      </c>
      <c r="AG938" t="str">
        <f t="shared" si="391"/>
        <v>在架</v>
      </c>
      <c r="AI938" t="s">
        <v>65</v>
      </c>
      <c r="AK938" t="str">
        <f t="shared" si="380"/>
        <v>一般(Normal)</v>
      </c>
      <c r="AO938" t="s">
        <v>65</v>
      </c>
      <c r="AS938" t="str">
        <f>("1997. ")</f>
        <v xml:space="preserve">1997. </v>
      </c>
      <c r="AT938" t="str">
        <f t="shared" si="381"/>
        <v>catc</v>
      </c>
    </row>
    <row r="939" spans="1:46" x14ac:dyDescent="0.25">
      <c r="A939">
        <v>928</v>
      </c>
      <c r="B939" t="str">
        <f>("289768")</f>
        <v>289768</v>
      </c>
      <c r="C939" t="str">
        <f>("W00002964")</f>
        <v>W00002964</v>
      </c>
      <c r="D939" t="str">
        <f>("The grammar activity book /")</f>
        <v>The grammar activity book /</v>
      </c>
      <c r="E939" t="str">
        <f>("Obee, Bob ")</f>
        <v xml:space="preserve">Obee, Bob </v>
      </c>
      <c r="F939" t="str">
        <f>("Cambridge University Press,")</f>
        <v>Cambridge University Press,</v>
      </c>
      <c r="H939" t="str">
        <f t="shared" si="388"/>
        <v>圖書 book</v>
      </c>
      <c r="I939" t="str">
        <f>("PE1128 O12 1999")</f>
        <v>PE1128 O12 1999</v>
      </c>
      <c r="J939" t="str">
        <f>("0521575796")</f>
        <v>0521575796</v>
      </c>
      <c r="K939" t="str">
        <f>("1064")</f>
        <v>1064</v>
      </c>
      <c r="L939" t="str">
        <f t="shared" si="384"/>
        <v>2001/10/10 00:00:00</v>
      </c>
      <c r="M939" t="str">
        <f t="shared" si="392"/>
        <v>2018/08/11 13:35:06</v>
      </c>
      <c r="N939" t="str">
        <f>("1999")</f>
        <v>1999</v>
      </c>
      <c r="O939" t="str">
        <f t="shared" si="389"/>
        <v>4F西文書庫 4F Western Language Books</v>
      </c>
      <c r="P939" t="s">
        <v>64</v>
      </c>
      <c r="W939" t="str">
        <f t="shared" si="370"/>
        <v>美國國會圖書分類法</v>
      </c>
      <c r="Y939" t="str">
        <f>("PE1128")</f>
        <v>PE1128</v>
      </c>
      <c r="Z939" t="str">
        <f t="shared" si="393"/>
        <v>2018/08/11 13:35:06</v>
      </c>
      <c r="AA939" t="str">
        <f t="shared" si="376"/>
        <v>catc</v>
      </c>
      <c r="AC939" t="str">
        <f>("O12")</f>
        <v>O12</v>
      </c>
      <c r="AE939" t="str">
        <f t="shared" si="377"/>
        <v>c.1</v>
      </c>
      <c r="AF939" t="str">
        <f t="shared" si="390"/>
        <v>1.可借圖書</v>
      </c>
      <c r="AG939" t="str">
        <f t="shared" si="391"/>
        <v>在架</v>
      </c>
      <c r="AI939" t="s">
        <v>65</v>
      </c>
      <c r="AK939" t="str">
        <f t="shared" si="380"/>
        <v>一般(Normal)</v>
      </c>
      <c r="AO939" t="s">
        <v>65</v>
      </c>
      <c r="AS939" t="str">
        <f>("1999")</f>
        <v>1999</v>
      </c>
      <c r="AT939" t="str">
        <f t="shared" si="381"/>
        <v>catc</v>
      </c>
    </row>
    <row r="940" spans="1:46" x14ac:dyDescent="0.25">
      <c r="A940">
        <v>929</v>
      </c>
      <c r="B940" t="str">
        <f>("289769")</f>
        <v>289769</v>
      </c>
      <c r="C940" t="str">
        <f>("W00002965")</f>
        <v>W00002965</v>
      </c>
      <c r="D940" t="str">
        <f>("Advanced business contacts / ")</f>
        <v xml:space="preserve">Advanced business contacts / </v>
      </c>
      <c r="E940" t="str">
        <f>("Brieger, Nick. ")</f>
        <v xml:space="preserve">Brieger, Nick. </v>
      </c>
      <c r="F940" t="str">
        <f>("Phoenix ELT, ")</f>
        <v xml:space="preserve">Phoenix ELT, </v>
      </c>
      <c r="H940" t="str">
        <f t="shared" si="388"/>
        <v>圖書 book</v>
      </c>
      <c r="I940" t="str">
        <f>("PE1115 B853 1994")</f>
        <v>PE1115 B853 1994</v>
      </c>
      <c r="J940" t="str">
        <f>("0130104221")</f>
        <v>0130104221</v>
      </c>
      <c r="K940" t="str">
        <f>("360")</f>
        <v>360</v>
      </c>
      <c r="L940" t="str">
        <f t="shared" si="384"/>
        <v>2001/10/10 00:00:00</v>
      </c>
      <c r="M940" t="str">
        <f t="shared" si="392"/>
        <v>2018/08/11 13:35:06</v>
      </c>
      <c r="N940" t="str">
        <f>("1994")</f>
        <v>1994</v>
      </c>
      <c r="O940" t="str">
        <f t="shared" si="389"/>
        <v>4F西文書庫 4F Western Language Books</v>
      </c>
      <c r="P940" t="s">
        <v>64</v>
      </c>
      <c r="W940" t="str">
        <f t="shared" si="370"/>
        <v>美國國會圖書分類法</v>
      </c>
      <c r="Y940" t="str">
        <f>("PE1115")</f>
        <v>PE1115</v>
      </c>
      <c r="Z940" t="str">
        <f t="shared" si="393"/>
        <v>2018/08/11 13:35:06</v>
      </c>
      <c r="AA940" t="str">
        <f t="shared" si="376"/>
        <v>catc</v>
      </c>
      <c r="AC940" t="str">
        <f>("B853")</f>
        <v>B853</v>
      </c>
      <c r="AE940" t="str">
        <f t="shared" ref="AE940:AE985" si="394">("c.1")</f>
        <v>c.1</v>
      </c>
      <c r="AF940" t="str">
        <f t="shared" si="390"/>
        <v>1.可借圖書</v>
      </c>
      <c r="AG940" t="str">
        <f t="shared" si="391"/>
        <v>在架</v>
      </c>
      <c r="AI940" t="s">
        <v>65</v>
      </c>
      <c r="AK940" t="str">
        <f t="shared" si="380"/>
        <v>一般(Normal)</v>
      </c>
      <c r="AO940" t="s">
        <v>65</v>
      </c>
      <c r="AS940" t="str">
        <f>("1994. ")</f>
        <v xml:space="preserve">1994. </v>
      </c>
      <c r="AT940" t="str">
        <f t="shared" si="381"/>
        <v>catc</v>
      </c>
    </row>
    <row r="941" spans="1:46" x14ac:dyDescent="0.25">
      <c r="A941">
        <v>930</v>
      </c>
      <c r="B941" t="str">
        <f>("289770")</f>
        <v>289770</v>
      </c>
      <c r="C941" t="str">
        <f>("W00002966")</f>
        <v>W00002966</v>
      </c>
      <c r="D941" t="str">
        <f>("Applied English : language skills for business and everyday use / ")</f>
        <v xml:space="preserve">Applied English : language skills for business and everyday use / </v>
      </c>
      <c r="E941" t="str">
        <f>("Barry, Robert E., 1921-")</f>
        <v>Barry, Robert E., 1921-</v>
      </c>
      <c r="F941" t="str">
        <f>("Prentice Hall, ")</f>
        <v xml:space="preserve">Prentice Hall, </v>
      </c>
      <c r="G941" t="str">
        <f>("Annotated instructor's ed. ")</f>
        <v xml:space="preserve">Annotated instructor's ed. </v>
      </c>
      <c r="H941" t="str">
        <f t="shared" si="388"/>
        <v>圖書 book</v>
      </c>
      <c r="I941" t="str">
        <f>("PE1128 B279 1999")</f>
        <v>PE1128 B279 1999</v>
      </c>
      <c r="J941" t="str">
        <f>("0136060471")</f>
        <v>0136060471</v>
      </c>
      <c r="K941" t="str">
        <f>("840")</f>
        <v>840</v>
      </c>
      <c r="L941" t="str">
        <f t="shared" si="384"/>
        <v>2001/10/10 00:00:00</v>
      </c>
      <c r="M941" t="str">
        <f t="shared" si="392"/>
        <v>2018/08/11 13:35:06</v>
      </c>
      <c r="N941" t="str">
        <f>("1999")</f>
        <v>1999</v>
      </c>
      <c r="O941" t="str">
        <f t="shared" si="389"/>
        <v>4F西文書庫 4F Western Language Books</v>
      </c>
      <c r="P941" t="s">
        <v>64</v>
      </c>
      <c r="W941" t="str">
        <f t="shared" si="370"/>
        <v>美國國會圖書分類法</v>
      </c>
      <c r="Y941" t="str">
        <f>("PE1128")</f>
        <v>PE1128</v>
      </c>
      <c r="Z941" t="str">
        <f t="shared" si="393"/>
        <v>2018/08/11 13:35:06</v>
      </c>
      <c r="AA941" t="str">
        <f t="shared" si="376"/>
        <v>catc</v>
      </c>
      <c r="AC941" t="str">
        <f>("B279")</f>
        <v>B279</v>
      </c>
      <c r="AE941" t="str">
        <f t="shared" si="394"/>
        <v>c.1</v>
      </c>
      <c r="AF941" t="str">
        <f t="shared" si="390"/>
        <v>1.可借圖書</v>
      </c>
      <c r="AG941" t="str">
        <f t="shared" si="391"/>
        <v>在架</v>
      </c>
      <c r="AI941" t="s">
        <v>65</v>
      </c>
      <c r="AK941" t="str">
        <f t="shared" si="380"/>
        <v>一般(Normal)</v>
      </c>
      <c r="AO941" t="s">
        <v>65</v>
      </c>
      <c r="AS941" t="str">
        <f>("c1995. ")</f>
        <v xml:space="preserve">c1995. </v>
      </c>
      <c r="AT941" t="str">
        <f t="shared" si="381"/>
        <v>catc</v>
      </c>
    </row>
    <row r="942" spans="1:46" x14ac:dyDescent="0.25">
      <c r="A942">
        <v>931</v>
      </c>
      <c r="B942" t="str">
        <f>("287380")</f>
        <v>287380</v>
      </c>
      <c r="C942" t="str">
        <f>("W00002967")</f>
        <v>W00002967</v>
      </c>
      <c r="D942" t="str">
        <f>("Leadership : theory and practice / ")</f>
        <v xml:space="preserve">Leadership : theory and practice / </v>
      </c>
      <c r="E942" t="str">
        <f>("Daft, Richard L. ")</f>
        <v xml:space="preserve">Daft, Richard L. </v>
      </c>
      <c r="F942" t="str">
        <f>("Dryden Press, ")</f>
        <v xml:space="preserve">Dryden Press, </v>
      </c>
      <c r="H942" t="str">
        <f t="shared" si="388"/>
        <v>圖書 book</v>
      </c>
      <c r="I942" t="str">
        <f>("HD57.7 D124 1999")</f>
        <v>HD57.7 D124 1999</v>
      </c>
      <c r="J942" t="str">
        <f>("0030224179")</f>
        <v>0030224179</v>
      </c>
      <c r="K942" t="str">
        <f>("1056")</f>
        <v>1056</v>
      </c>
      <c r="L942" t="str">
        <f t="shared" si="384"/>
        <v>2001/10/10 00:00:00</v>
      </c>
      <c r="M942" t="str">
        <f>("2018/08/11 13:31:06")</f>
        <v>2018/08/11 13:31:06</v>
      </c>
      <c r="N942" t="str">
        <f>("1999")</f>
        <v>1999</v>
      </c>
      <c r="O942" t="str">
        <f t="shared" si="389"/>
        <v>4F西文書庫 4F Western Language Books</v>
      </c>
      <c r="P942" t="s">
        <v>64</v>
      </c>
      <c r="W942" t="str">
        <f t="shared" si="370"/>
        <v>美國國會圖書分類法</v>
      </c>
      <c r="Y942" t="str">
        <f>("HD57.7")</f>
        <v>HD57.7</v>
      </c>
      <c r="Z942" t="str">
        <f>("2018/08/11 13:31:06")</f>
        <v>2018/08/11 13:31:06</v>
      </c>
      <c r="AA942" t="str">
        <f t="shared" si="376"/>
        <v>catc</v>
      </c>
      <c r="AC942" t="str">
        <f>("D124")</f>
        <v>D124</v>
      </c>
      <c r="AE942" t="str">
        <f t="shared" si="394"/>
        <v>c.1</v>
      </c>
      <c r="AF942" t="str">
        <f t="shared" si="390"/>
        <v>1.可借圖書</v>
      </c>
      <c r="AG942" t="str">
        <f t="shared" si="391"/>
        <v>在架</v>
      </c>
      <c r="AI942" t="s">
        <v>65</v>
      </c>
      <c r="AK942" t="str">
        <f t="shared" si="380"/>
        <v>一般(Normal)</v>
      </c>
      <c r="AO942" t="s">
        <v>65</v>
      </c>
      <c r="AS942" t="str">
        <f>("c1999. ")</f>
        <v xml:space="preserve">c1999. </v>
      </c>
      <c r="AT942" t="str">
        <f t="shared" si="381"/>
        <v>catc</v>
      </c>
    </row>
    <row r="943" spans="1:46" x14ac:dyDescent="0.25">
      <c r="A943">
        <v>932</v>
      </c>
      <c r="B943" t="str">
        <f>("289771")</f>
        <v>289771</v>
      </c>
      <c r="C943" t="str">
        <f>("W00002968")</f>
        <v>W00002968</v>
      </c>
      <c r="D943" t="str">
        <f>("Financial markets and institutions /")</f>
        <v>Financial markets and institutions /</v>
      </c>
      <c r="E943" t="str">
        <f>("Mishkin, Frederic S.")</f>
        <v>Mishkin, Frederic S.</v>
      </c>
      <c r="F943" t="str">
        <f>("Addison-Wesley,")</f>
        <v>Addison-Wesley,</v>
      </c>
      <c r="G943" t="str">
        <f>("2nd ed.")</f>
        <v>2nd ed.</v>
      </c>
      <c r="H943" t="str">
        <f t="shared" si="388"/>
        <v>圖書 book</v>
      </c>
      <c r="I943" t="str">
        <f>("HG181 M678 1998")</f>
        <v>HG181 M678 1998</v>
      </c>
      <c r="J943" t="str">
        <f>("0321014650")</f>
        <v>0321014650</v>
      </c>
      <c r="K943" t="str">
        <f>("1080")</f>
        <v>1080</v>
      </c>
      <c r="L943" t="str">
        <f t="shared" si="384"/>
        <v>2001/10/10 00:00:00</v>
      </c>
      <c r="M943" t="str">
        <f>("2018/08/11 13:35:06")</f>
        <v>2018/08/11 13:35:06</v>
      </c>
      <c r="N943" t="str">
        <f>("1998")</f>
        <v>1998</v>
      </c>
      <c r="O943" t="str">
        <f t="shared" si="389"/>
        <v>4F西文書庫 4F Western Language Books</v>
      </c>
      <c r="P943" t="s">
        <v>64</v>
      </c>
      <c r="W943" t="str">
        <f t="shared" si="370"/>
        <v>美國國會圖書分類法</v>
      </c>
      <c r="Y943" t="str">
        <f>("HG181")</f>
        <v>HG181</v>
      </c>
      <c r="Z943" t="str">
        <f>("2018/08/11 13:35:06")</f>
        <v>2018/08/11 13:35:06</v>
      </c>
      <c r="AA943" t="str">
        <f t="shared" si="376"/>
        <v>catc</v>
      </c>
      <c r="AC943" t="str">
        <f>("M678")</f>
        <v>M678</v>
      </c>
      <c r="AE943" t="str">
        <f t="shared" si="394"/>
        <v>c.1</v>
      </c>
      <c r="AF943" t="str">
        <f t="shared" si="390"/>
        <v>1.可借圖書</v>
      </c>
      <c r="AG943" t="str">
        <f t="shared" si="391"/>
        <v>在架</v>
      </c>
      <c r="AI943" t="s">
        <v>65</v>
      </c>
      <c r="AK943" t="str">
        <f t="shared" si="380"/>
        <v>一般(Normal)</v>
      </c>
      <c r="AO943" t="s">
        <v>65</v>
      </c>
      <c r="AS943" t="str">
        <f>("c1998.")</f>
        <v>c1998.</v>
      </c>
      <c r="AT943" t="str">
        <f t="shared" si="381"/>
        <v>catc</v>
      </c>
    </row>
    <row r="944" spans="1:46" x14ac:dyDescent="0.25">
      <c r="A944">
        <v>933</v>
      </c>
      <c r="B944" t="str">
        <f>("289772")</f>
        <v>289772</v>
      </c>
      <c r="C944" t="str">
        <f>("W00002969")</f>
        <v>W00002969</v>
      </c>
      <c r="D944" t="str">
        <f>("Management of electronic media / ")</f>
        <v xml:space="preserve">Management of electronic media / </v>
      </c>
      <c r="E944" t="str">
        <f>("Albarran, Alan B. ")</f>
        <v xml:space="preserve">Albarran, Alan B. </v>
      </c>
      <c r="F944" t="str">
        <f>("Wadsworth Pub. Co., ")</f>
        <v xml:space="preserve">Wadsworth Pub. Co., </v>
      </c>
      <c r="H944" t="str">
        <f t="shared" si="388"/>
        <v>圖書 book</v>
      </c>
      <c r="I944" t="str">
        <f>("P96 A327 1997")</f>
        <v>P96 A327 1997</v>
      </c>
      <c r="J944" t="str">
        <f>("0534262740")</f>
        <v>0534262740</v>
      </c>
      <c r="K944" t="str">
        <f>("840")</f>
        <v>840</v>
      </c>
      <c r="L944" t="str">
        <f t="shared" si="384"/>
        <v>2001/10/10 00:00:00</v>
      </c>
      <c r="M944" t="str">
        <f>("2018/08/11 13:35:06")</f>
        <v>2018/08/11 13:35:06</v>
      </c>
      <c r="N944" t="str">
        <f>("1997")</f>
        <v>1997</v>
      </c>
      <c r="O944" t="str">
        <f>("罕用書庫1-洽櫃台填單 Upon-Request Collection1 fil")</f>
        <v>罕用書庫1-洽櫃台填單 Upon-Request Collection1 fil</v>
      </c>
      <c r="P944" t="s">
        <v>64</v>
      </c>
      <c r="S944" t="str">
        <f>("xix, 324 p. : ")</f>
        <v xml:space="preserve">xix, 324 p. : </v>
      </c>
      <c r="T944" t="str">
        <f>("ill., maps ; ")</f>
        <v xml:space="preserve">ill., maps ; </v>
      </c>
      <c r="U944" t="str">
        <f>("25 cm. ")</f>
        <v xml:space="preserve">25 cm. </v>
      </c>
      <c r="W944" t="str">
        <f t="shared" si="370"/>
        <v>美國國會圖書分類法</v>
      </c>
      <c r="Y944" t="str">
        <f>("P96")</f>
        <v>P96</v>
      </c>
      <c r="Z944" t="str">
        <f>("2018/08/11 13:35:06")</f>
        <v>2018/08/11 13:35:06</v>
      </c>
      <c r="AA944" t="str">
        <f t="shared" si="376"/>
        <v>catc</v>
      </c>
      <c r="AC944" t="str">
        <f>("A327")</f>
        <v>A327</v>
      </c>
      <c r="AE944" t="str">
        <f t="shared" si="394"/>
        <v>c.1</v>
      </c>
      <c r="AF944" t="str">
        <f>("不流通")</f>
        <v>不流通</v>
      </c>
      <c r="AG944" t="str">
        <f>("報銷中")</f>
        <v>報銷中</v>
      </c>
      <c r="AI944" t="s">
        <v>65</v>
      </c>
      <c r="AK944" t="str">
        <f t="shared" si="380"/>
        <v>一般(Normal)</v>
      </c>
      <c r="AO944" t="s">
        <v>65</v>
      </c>
      <c r="AS944" t="str">
        <f>("c1997. ")</f>
        <v xml:space="preserve">c1997. </v>
      </c>
      <c r="AT944" t="str">
        <f t="shared" si="381"/>
        <v>catc</v>
      </c>
    </row>
    <row r="945" spans="1:46" x14ac:dyDescent="0.25">
      <c r="A945">
        <v>934</v>
      </c>
      <c r="B945" t="str">
        <f>("289773")</f>
        <v>289773</v>
      </c>
      <c r="C945" t="str">
        <f>("W00002970")</f>
        <v>W00002970</v>
      </c>
      <c r="D945" t="str">
        <f>("Business :  a changing world / ")</f>
        <v xml:space="preserve">Business :  a changing world / </v>
      </c>
      <c r="E945" t="str">
        <f>("Ferrell, O. C. ")</f>
        <v xml:space="preserve">Ferrell, O. C. </v>
      </c>
      <c r="F945" t="str">
        <f>(" Irwin/McGraw-Hill, ")</f>
        <v xml:space="preserve"> Irwin/McGraw-Hill, </v>
      </c>
      <c r="G945" t="str">
        <f>("3rd ed. ")</f>
        <v xml:space="preserve">3rd ed. </v>
      </c>
      <c r="H945" t="str">
        <f t="shared" si="388"/>
        <v>圖書 book</v>
      </c>
      <c r="I945" t="str">
        <f>("HF1008 F382 2000")</f>
        <v>HF1008 F382 2000</v>
      </c>
      <c r="J945" t="str">
        <f>("0071162852")</f>
        <v>0071162852</v>
      </c>
      <c r="K945" t="str">
        <f>("840")</f>
        <v>840</v>
      </c>
      <c r="L945" t="str">
        <f t="shared" si="384"/>
        <v>2001/10/10 00:00:00</v>
      </c>
      <c r="M945" t="str">
        <f t="shared" ref="M945:M952" si="395">("2018/08/11 13:35:07")</f>
        <v>2018/08/11 13:35:07</v>
      </c>
      <c r="N945" t="str">
        <f>("2000")</f>
        <v>2000</v>
      </c>
      <c r="O945" t="str">
        <f t="shared" ref="O945:O951" si="396">("4F西文書庫 4F Western Language Books")</f>
        <v>4F西文書庫 4F Western Language Books</v>
      </c>
      <c r="P945" t="s">
        <v>64</v>
      </c>
      <c r="S945" t="str">
        <f>("xxv, 497 p. : ")</f>
        <v xml:space="preserve">xxv, 497 p. : </v>
      </c>
      <c r="T945" t="str">
        <f>(" ill. (some col.) ; ")</f>
        <v xml:space="preserve"> ill. (some col.) ; </v>
      </c>
      <c r="U945" t="str">
        <f>(" 26 cm. ")</f>
        <v xml:space="preserve"> 26 cm. </v>
      </c>
      <c r="W945" t="str">
        <f t="shared" si="370"/>
        <v>美國國會圖書分類法</v>
      </c>
      <c r="Y945" t="str">
        <f>("HF1008")</f>
        <v>HF1008</v>
      </c>
      <c r="Z945" t="str">
        <f>("2018/08/11 13:35:06")</f>
        <v>2018/08/11 13:35:06</v>
      </c>
      <c r="AA945" t="str">
        <f t="shared" si="376"/>
        <v>catc</v>
      </c>
      <c r="AC945" t="str">
        <f>("F382")</f>
        <v>F382</v>
      </c>
      <c r="AE945" t="str">
        <f t="shared" si="394"/>
        <v>c.1</v>
      </c>
      <c r="AF945" t="str">
        <f t="shared" ref="AF945:AF951" si="397">("1.可借圖書")</f>
        <v>1.可借圖書</v>
      </c>
      <c r="AG945" t="str">
        <f t="shared" ref="AG945:AG951" si="398">("在架")</f>
        <v>在架</v>
      </c>
      <c r="AI945" t="s">
        <v>65</v>
      </c>
      <c r="AK945" t="str">
        <f t="shared" si="380"/>
        <v>一般(Normal)</v>
      </c>
      <c r="AO945" t="s">
        <v>65</v>
      </c>
      <c r="AS945" t="str">
        <f>(" 2000. ")</f>
        <v xml:space="preserve"> 2000. </v>
      </c>
      <c r="AT945" t="str">
        <f t="shared" si="381"/>
        <v>catc</v>
      </c>
    </row>
    <row r="946" spans="1:46" x14ac:dyDescent="0.25">
      <c r="A946">
        <v>935</v>
      </c>
      <c r="B946" t="str">
        <f>("289757")</f>
        <v>289757</v>
      </c>
      <c r="C946" t="str">
        <f>("W00002971")</f>
        <v>W00002971</v>
      </c>
      <c r="D946" t="str">
        <f>("Raymond Jungles /")</f>
        <v>Raymond Jungles /</v>
      </c>
      <c r="E946" t="str">
        <f>("Jungles, Raymond ;Trulove, James Grayson ;Provo, Lanny ;Dunn, Stephen ")</f>
        <v xml:space="preserve">Jungles, Raymond ;Trulove, James Grayson ;Provo, Lanny ;Dunn, Stephen </v>
      </c>
      <c r="F946" t="str">
        <f>("Rockport Publishers ;;Distributed in the U.S. by North Light Books,")</f>
        <v>Rockport Publishers ;;Distributed in the U.S. by North Light Books,</v>
      </c>
      <c r="H946" t="str">
        <f t="shared" si="388"/>
        <v>圖書 book</v>
      </c>
      <c r="I946" t="str">
        <f>("SB470.M3 T865-2 1999")</f>
        <v>SB470.M3 T865-2 1999</v>
      </c>
      <c r="J946" t="str">
        <f>("1564966135")</f>
        <v>1564966135</v>
      </c>
      <c r="K946" t="str">
        <f>("720")</f>
        <v>720</v>
      </c>
      <c r="L946" t="str">
        <f t="shared" si="384"/>
        <v>2001/10/10 00:00:00</v>
      </c>
      <c r="M946" t="str">
        <f t="shared" si="395"/>
        <v>2018/08/11 13:35:07</v>
      </c>
      <c r="N946" t="str">
        <f>("1999")</f>
        <v>1999</v>
      </c>
      <c r="O946" t="str">
        <f t="shared" si="396"/>
        <v>4F西文書庫 4F Western Language Books</v>
      </c>
      <c r="P946" t="s">
        <v>64</v>
      </c>
      <c r="W946" t="str">
        <f t="shared" si="370"/>
        <v>美國國會圖書分類法</v>
      </c>
      <c r="Y946" t="str">
        <f>("SB470.M3")</f>
        <v>SB470.M3</v>
      </c>
      <c r="Z946" t="str">
        <f t="shared" ref="Z946:Z953" si="399">("2018/08/11 13:35:07")</f>
        <v>2018/08/11 13:35:07</v>
      </c>
      <c r="AA946" t="str">
        <f t="shared" si="376"/>
        <v>catc</v>
      </c>
      <c r="AC946" t="str">
        <f>("T865-2")</f>
        <v>T865-2</v>
      </c>
      <c r="AE946" t="str">
        <f t="shared" si="394"/>
        <v>c.1</v>
      </c>
      <c r="AF946" t="str">
        <f t="shared" si="397"/>
        <v>1.可借圖書</v>
      </c>
      <c r="AG946" t="str">
        <f t="shared" si="398"/>
        <v>在架</v>
      </c>
      <c r="AI946" t="s">
        <v>65</v>
      </c>
      <c r="AK946" t="str">
        <f t="shared" si="380"/>
        <v>一般(Normal)</v>
      </c>
      <c r="AO946" t="s">
        <v>65</v>
      </c>
      <c r="AS946" t="str">
        <f>("c1999 ")</f>
        <v xml:space="preserve">c1999 </v>
      </c>
      <c r="AT946" t="str">
        <f t="shared" si="381"/>
        <v>catc</v>
      </c>
    </row>
    <row r="947" spans="1:46" x14ac:dyDescent="0.25">
      <c r="A947">
        <v>936</v>
      </c>
      <c r="B947" t="str">
        <f>("289758")</f>
        <v>289758</v>
      </c>
      <c r="C947" t="str">
        <f>("W00002972")</f>
        <v>W00002972</v>
      </c>
      <c r="D947" t="str">
        <f>("The modern garden /")</f>
        <v>The modern garden /</v>
      </c>
      <c r="E947" t="str">
        <f>("Brown, Jane,1938- ")</f>
        <v xml:space="preserve">Brown, Jane,1938- </v>
      </c>
      <c r="F947" t="str">
        <f>("Princeton Architectural Press,")</f>
        <v>Princeton Architectural Press,</v>
      </c>
      <c r="G947" t="str">
        <f>("1st ed ")</f>
        <v xml:space="preserve">1st ed </v>
      </c>
      <c r="H947" t="str">
        <f t="shared" si="388"/>
        <v>圖書 book</v>
      </c>
      <c r="I947" t="str">
        <f>("SB465 B882 2000")</f>
        <v>SB465 B882 2000</v>
      </c>
      <c r="J947" t="str">
        <f>("0500510067")</f>
        <v>0500510067</v>
      </c>
      <c r="K947" t="str">
        <f>("1120")</f>
        <v>1120</v>
      </c>
      <c r="L947" t="str">
        <f t="shared" si="384"/>
        <v>2001/10/10 00:00:00</v>
      </c>
      <c r="M947" t="str">
        <f t="shared" si="395"/>
        <v>2018/08/11 13:35:07</v>
      </c>
      <c r="N947" t="str">
        <f>("2000")</f>
        <v>2000</v>
      </c>
      <c r="O947" t="str">
        <f t="shared" si="396"/>
        <v>4F西文書庫 4F Western Language Books</v>
      </c>
      <c r="P947" t="s">
        <v>64</v>
      </c>
      <c r="W947" t="str">
        <f t="shared" si="370"/>
        <v>美國國會圖書分類法</v>
      </c>
      <c r="Y947" t="str">
        <f>("SB465")</f>
        <v>SB465</v>
      </c>
      <c r="Z947" t="str">
        <f t="shared" si="399"/>
        <v>2018/08/11 13:35:07</v>
      </c>
      <c r="AA947" t="str">
        <f t="shared" si="376"/>
        <v>catc</v>
      </c>
      <c r="AC947" t="str">
        <f>("B882")</f>
        <v>B882</v>
      </c>
      <c r="AE947" t="str">
        <f t="shared" si="394"/>
        <v>c.1</v>
      </c>
      <c r="AF947" t="str">
        <f t="shared" si="397"/>
        <v>1.可借圖書</v>
      </c>
      <c r="AG947" t="str">
        <f t="shared" si="398"/>
        <v>在架</v>
      </c>
      <c r="AI947" t="s">
        <v>65</v>
      </c>
      <c r="AK947" t="str">
        <f t="shared" si="380"/>
        <v>一般(Normal)</v>
      </c>
      <c r="AO947" t="s">
        <v>65</v>
      </c>
      <c r="AS947" t="str">
        <f>("c2000 ")</f>
        <v xml:space="preserve">c2000 </v>
      </c>
      <c r="AT947" t="str">
        <f t="shared" si="381"/>
        <v>catc</v>
      </c>
    </row>
    <row r="948" spans="1:46" x14ac:dyDescent="0.25">
      <c r="A948">
        <v>937</v>
      </c>
      <c r="B948" t="str">
        <f>("289759")</f>
        <v>289759</v>
      </c>
      <c r="C948" t="str">
        <f>("W00002973")</f>
        <v>W00002973</v>
      </c>
      <c r="D948" t="str">
        <f>("Ten landscapes /")</f>
        <v>Ten landscapes /</v>
      </c>
      <c r="E948" t="str">
        <f>("Masuno, Shunmyo ")</f>
        <v xml:space="preserve">Masuno, Shunmyo </v>
      </c>
      <c r="F948" t="str">
        <f>("Rockport,")</f>
        <v>Rockport,</v>
      </c>
      <c r="H948" t="str">
        <f t="shared" si="388"/>
        <v>圖書 book</v>
      </c>
      <c r="I948" t="str">
        <f>("SB470.M3 T865 1999")</f>
        <v>SB470.M3 T865 1999</v>
      </c>
      <c r="J948" t="str">
        <f>("1564966143")</f>
        <v>1564966143</v>
      </c>
      <c r="K948" t="str">
        <f>("720")</f>
        <v>720</v>
      </c>
      <c r="L948" t="str">
        <f t="shared" si="384"/>
        <v>2001/10/10 00:00:00</v>
      </c>
      <c r="M948" t="str">
        <f t="shared" si="395"/>
        <v>2018/08/11 13:35:07</v>
      </c>
      <c r="N948" t="str">
        <f>("1999")</f>
        <v>1999</v>
      </c>
      <c r="O948" t="str">
        <f t="shared" si="396"/>
        <v>4F西文書庫 4F Western Language Books</v>
      </c>
      <c r="P948" t="s">
        <v>64</v>
      </c>
      <c r="W948" t="str">
        <f t="shared" si="370"/>
        <v>美國國會圖書分類法</v>
      </c>
      <c r="Y948" t="str">
        <f>("SB470.M3")</f>
        <v>SB470.M3</v>
      </c>
      <c r="Z948" t="str">
        <f t="shared" si="399"/>
        <v>2018/08/11 13:35:07</v>
      </c>
      <c r="AA948" t="str">
        <f t="shared" si="376"/>
        <v>catc</v>
      </c>
      <c r="AC948" t="str">
        <f>("T865")</f>
        <v>T865</v>
      </c>
      <c r="AE948" t="str">
        <f t="shared" si="394"/>
        <v>c.1</v>
      </c>
      <c r="AF948" t="str">
        <f t="shared" si="397"/>
        <v>1.可借圖書</v>
      </c>
      <c r="AG948" t="str">
        <f t="shared" si="398"/>
        <v>在架</v>
      </c>
      <c r="AI948" t="s">
        <v>65</v>
      </c>
      <c r="AK948" t="str">
        <f t="shared" si="380"/>
        <v>一般(Normal)</v>
      </c>
      <c r="AO948" t="s">
        <v>65</v>
      </c>
      <c r="AS948" t="str">
        <f>("1999 ")</f>
        <v xml:space="preserve">1999 </v>
      </c>
      <c r="AT948" t="str">
        <f t="shared" si="381"/>
        <v>catc</v>
      </c>
    </row>
    <row r="949" spans="1:46" x14ac:dyDescent="0.25">
      <c r="A949">
        <v>938</v>
      </c>
      <c r="B949" t="str">
        <f>("289774")</f>
        <v>289774</v>
      </c>
      <c r="C949" t="str">
        <f>("W00002974")</f>
        <v>W00002974</v>
      </c>
      <c r="D949" t="str">
        <f>("Outside architecture : outdoor rooms designed by architects / ")</f>
        <v xml:space="preserve">Outside architecture : outdoor rooms designed by architects / </v>
      </c>
      <c r="E949" t="str">
        <f>("Zevon, Susan. ")</f>
        <v xml:space="preserve">Zevon, Susan. </v>
      </c>
      <c r="F949" t="str">
        <f>("M. Beazley ; ; Rockport Publishers ; ; North Light Books [distributor], ")</f>
        <v xml:space="preserve">M. Beazley ; ; Rockport Publishers ; ; North Light Books [distributor], </v>
      </c>
      <c r="H949" t="str">
        <f t="shared" si="388"/>
        <v>圖書 book</v>
      </c>
      <c r="I949" t="str">
        <f>("NA8300 Z63 1999")</f>
        <v>NA8300 Z63 1999</v>
      </c>
      <c r="J949" t="str">
        <f>("1564964604")</f>
        <v>1564964604</v>
      </c>
      <c r="K949" t="str">
        <f>("1400")</f>
        <v>1400</v>
      </c>
      <c r="L949" t="str">
        <f t="shared" si="384"/>
        <v>2001/10/10 00:00:00</v>
      </c>
      <c r="M949" t="str">
        <f t="shared" si="395"/>
        <v>2018/08/11 13:35:07</v>
      </c>
      <c r="N949" t="str">
        <f>("1999")</f>
        <v>1999</v>
      </c>
      <c r="O949" t="str">
        <f t="shared" si="396"/>
        <v>4F西文書庫 4F Western Language Books</v>
      </c>
      <c r="P949" t="s">
        <v>64</v>
      </c>
      <c r="W949" t="str">
        <f t="shared" ref="W949:W1012" si="400">("美國國會圖書分類法")</f>
        <v>美國國會圖書分類法</v>
      </c>
      <c r="Y949" t="str">
        <f>("NA8300")</f>
        <v>NA8300</v>
      </c>
      <c r="Z949" t="str">
        <f t="shared" si="399"/>
        <v>2018/08/11 13:35:07</v>
      </c>
      <c r="AA949" t="str">
        <f t="shared" si="376"/>
        <v>catc</v>
      </c>
      <c r="AC949" t="str">
        <f>("Z63")</f>
        <v>Z63</v>
      </c>
      <c r="AE949" t="str">
        <f t="shared" si="394"/>
        <v>c.1</v>
      </c>
      <c r="AF949" t="str">
        <f t="shared" si="397"/>
        <v>1.可借圖書</v>
      </c>
      <c r="AG949" t="str">
        <f t="shared" si="398"/>
        <v>在架</v>
      </c>
      <c r="AI949" t="s">
        <v>65</v>
      </c>
      <c r="AK949" t="str">
        <f t="shared" si="380"/>
        <v>一般(Normal)</v>
      </c>
      <c r="AO949" t="s">
        <v>65</v>
      </c>
      <c r="AS949" t="str">
        <f>(" 1999. ")</f>
        <v xml:space="preserve"> 1999. </v>
      </c>
      <c r="AT949" t="str">
        <f t="shared" si="381"/>
        <v>catc</v>
      </c>
    </row>
    <row r="950" spans="1:46" x14ac:dyDescent="0.25">
      <c r="A950">
        <v>939</v>
      </c>
      <c r="B950" t="str">
        <f>("289775")</f>
        <v>289775</v>
      </c>
      <c r="C950" t="str">
        <f>("W00002975")</f>
        <v>W00002975</v>
      </c>
      <c r="D950" t="str">
        <f>("DAN KILEY: in his own words/ ")</f>
        <v xml:space="preserve">DAN KILEY: in his own words/ </v>
      </c>
      <c r="E950" t="str">
        <f>("Kiley, Dan ")</f>
        <v xml:space="preserve">Kiley, Dan </v>
      </c>
      <c r="F950" t="str">
        <f>("THAMES AND HUDSON, ")</f>
        <v xml:space="preserve">THAMES AND HUDSON, </v>
      </c>
      <c r="G950" t="str">
        <f>("1st. ed.")</f>
        <v>1st. ed.</v>
      </c>
      <c r="H950" t="str">
        <f t="shared" si="388"/>
        <v>圖書 book</v>
      </c>
      <c r="I950" t="str">
        <f>("SB470.K55 K48 1999")</f>
        <v>SB470.K55 K48 1999</v>
      </c>
      <c r="J950" t="str">
        <f>("0500341702")</f>
        <v>0500341702</v>
      </c>
      <c r="K950" t="str">
        <f>("1480")</f>
        <v>1480</v>
      </c>
      <c r="L950" t="str">
        <f t="shared" si="384"/>
        <v>2001/10/10 00:00:00</v>
      </c>
      <c r="M950" t="str">
        <f t="shared" si="395"/>
        <v>2018/08/11 13:35:07</v>
      </c>
      <c r="N950" t="str">
        <f>("1999")</f>
        <v>1999</v>
      </c>
      <c r="O950" t="str">
        <f t="shared" si="396"/>
        <v>4F西文書庫 4F Western Language Books</v>
      </c>
      <c r="P950" t="s">
        <v>64</v>
      </c>
      <c r="W950" t="str">
        <f t="shared" si="400"/>
        <v>美國國會圖書分類法</v>
      </c>
      <c r="Y950" t="str">
        <f>("SB470.K55")</f>
        <v>SB470.K55</v>
      </c>
      <c r="Z950" t="str">
        <f t="shared" si="399"/>
        <v>2018/08/11 13:35:07</v>
      </c>
      <c r="AA950" t="str">
        <f t="shared" si="376"/>
        <v>catc</v>
      </c>
      <c r="AC950" t="str">
        <f>("K48")</f>
        <v>K48</v>
      </c>
      <c r="AE950" t="str">
        <f t="shared" si="394"/>
        <v>c.1</v>
      </c>
      <c r="AF950" t="str">
        <f t="shared" si="397"/>
        <v>1.可借圖書</v>
      </c>
      <c r="AG950" t="str">
        <f t="shared" si="398"/>
        <v>在架</v>
      </c>
      <c r="AI950" t="s">
        <v>65</v>
      </c>
      <c r="AK950" t="str">
        <f t="shared" si="380"/>
        <v>一般(Normal)</v>
      </c>
      <c r="AO950" t="s">
        <v>65</v>
      </c>
      <c r="AS950" t="str">
        <f>("1999.")</f>
        <v>1999.</v>
      </c>
      <c r="AT950" t="str">
        <f t="shared" si="381"/>
        <v>catc</v>
      </c>
    </row>
    <row r="951" spans="1:46" x14ac:dyDescent="0.25">
      <c r="A951">
        <v>940</v>
      </c>
      <c r="B951" t="str">
        <f>("289776")</f>
        <v>289776</v>
      </c>
      <c r="C951" t="str">
        <f>("W00002976")</f>
        <v>W00002976</v>
      </c>
      <c r="D951" t="str">
        <f>("Abitare Annual 14")</f>
        <v>Abitare Annual 14</v>
      </c>
      <c r="E951" t="str">
        <f>("")</f>
        <v/>
      </c>
      <c r="F951" t="str">
        <f>("RotoVison SA ")</f>
        <v xml:space="preserve">RotoVison SA </v>
      </c>
      <c r="H951" t="str">
        <f t="shared" si="388"/>
        <v>圖書 book</v>
      </c>
      <c r="I951" t="str">
        <f>("NK1980 A148 2000")</f>
        <v>NK1980 A148 2000</v>
      </c>
      <c r="J951" t="str">
        <f>("2880464684")</f>
        <v>2880464684</v>
      </c>
      <c r="K951" t="str">
        <f>("1480")</f>
        <v>1480</v>
      </c>
      <c r="L951" t="str">
        <f t="shared" si="384"/>
        <v>2001/10/10 00:00:00</v>
      </c>
      <c r="M951" t="str">
        <f t="shared" si="395"/>
        <v>2018/08/11 13:35:07</v>
      </c>
      <c r="N951" t="str">
        <f>("2000")</f>
        <v>2000</v>
      </c>
      <c r="O951" t="str">
        <f t="shared" si="396"/>
        <v>4F西文書庫 4F Western Language Books</v>
      </c>
      <c r="P951" t="s">
        <v>64</v>
      </c>
      <c r="W951" t="str">
        <f t="shared" si="400"/>
        <v>美國國會圖書分類法</v>
      </c>
      <c r="Y951" t="str">
        <f>("NK1980")</f>
        <v>NK1980</v>
      </c>
      <c r="Z951" t="str">
        <f t="shared" si="399"/>
        <v>2018/08/11 13:35:07</v>
      </c>
      <c r="AA951" t="str">
        <f t="shared" si="376"/>
        <v>catc</v>
      </c>
      <c r="AC951" t="str">
        <f>("A148")</f>
        <v>A148</v>
      </c>
      <c r="AE951" t="str">
        <f t="shared" si="394"/>
        <v>c.1</v>
      </c>
      <c r="AF951" t="str">
        <f t="shared" si="397"/>
        <v>1.可借圖書</v>
      </c>
      <c r="AG951" t="str">
        <f t="shared" si="398"/>
        <v>在架</v>
      </c>
      <c r="AI951" t="s">
        <v>65</v>
      </c>
      <c r="AK951" t="str">
        <f t="shared" si="380"/>
        <v>一般(Normal)</v>
      </c>
      <c r="AO951" t="s">
        <v>65</v>
      </c>
      <c r="AT951" t="str">
        <f t="shared" si="381"/>
        <v>catc</v>
      </c>
    </row>
    <row r="952" spans="1:46" x14ac:dyDescent="0.25">
      <c r="A952">
        <v>941</v>
      </c>
      <c r="B952" t="str">
        <f>("289777")</f>
        <v>289777</v>
      </c>
      <c r="C952" t="str">
        <f>("W00002977")</f>
        <v>W00002977</v>
      </c>
      <c r="D952" t="str">
        <f>("Color : details and design / ")</f>
        <v xml:space="preserve">Color : details and design / </v>
      </c>
      <c r="E952" t="str">
        <f>("Trucco, Terry. ")</f>
        <v xml:space="preserve">Trucco, Terry. </v>
      </c>
      <c r="F952" t="str">
        <f>("PBC International, ")</f>
        <v xml:space="preserve">PBC International, </v>
      </c>
      <c r="H952" t="str">
        <f t="shared" si="388"/>
        <v>圖書 book</v>
      </c>
      <c r="I952" t="str">
        <f>("NK2115.5.C6 T865 1998")</f>
        <v>NK2115.5.C6 T865 1998</v>
      </c>
      <c r="J952" t="str">
        <f>("0866365753")</f>
        <v>0866365753</v>
      </c>
      <c r="K952" t="str">
        <f>("1080")</f>
        <v>1080</v>
      </c>
      <c r="L952" t="str">
        <f t="shared" si="384"/>
        <v>2001/10/10 00:00:00</v>
      </c>
      <c r="M952" t="str">
        <f t="shared" si="395"/>
        <v>2018/08/11 13:35:07</v>
      </c>
      <c r="N952" t="str">
        <f>("1998")</f>
        <v>1998</v>
      </c>
      <c r="O952" t="str">
        <f>("罕用書庫1-洽櫃台填單 Upon-Request Collection1 fil")</f>
        <v>罕用書庫1-洽櫃台填單 Upon-Request Collection1 fil</v>
      </c>
      <c r="P952" t="s">
        <v>64</v>
      </c>
      <c r="S952" t="str">
        <f>("166 p. : ")</f>
        <v xml:space="preserve">166 p. : </v>
      </c>
      <c r="T952" t="str">
        <f>(" col.ill. ; ")</f>
        <v xml:space="preserve"> col.ill. ; </v>
      </c>
      <c r="U952" t="str">
        <f>("29 cm. ")</f>
        <v xml:space="preserve">29 cm. </v>
      </c>
      <c r="W952" t="str">
        <f t="shared" si="400"/>
        <v>美國國會圖書分類法</v>
      </c>
      <c r="Y952" t="str">
        <f>("NK2115.5.C6")</f>
        <v>NK2115.5.C6</v>
      </c>
      <c r="Z952" t="str">
        <f t="shared" si="399"/>
        <v>2018/08/11 13:35:07</v>
      </c>
      <c r="AA952" t="str">
        <f t="shared" si="376"/>
        <v>catc</v>
      </c>
      <c r="AC952" t="str">
        <f>("T865")</f>
        <v>T865</v>
      </c>
      <c r="AE952" t="str">
        <f t="shared" si="394"/>
        <v>c.1</v>
      </c>
      <c r="AF952" t="str">
        <f>("不流通")</f>
        <v>不流通</v>
      </c>
      <c r="AG952" t="str">
        <f>("報銷中")</f>
        <v>報銷中</v>
      </c>
      <c r="AI952" t="s">
        <v>65</v>
      </c>
      <c r="AK952" t="str">
        <f t="shared" si="380"/>
        <v>一般(Normal)</v>
      </c>
      <c r="AO952" t="s">
        <v>65</v>
      </c>
      <c r="AS952" t="str">
        <f>("1998. ")</f>
        <v xml:space="preserve">1998. </v>
      </c>
      <c r="AT952" t="str">
        <f t="shared" si="381"/>
        <v>catc</v>
      </c>
    </row>
    <row r="953" spans="1:46" x14ac:dyDescent="0.25">
      <c r="A953">
        <v>942</v>
      </c>
      <c r="B953" t="str">
        <f>("289760")</f>
        <v>289760</v>
      </c>
      <c r="C953" t="str">
        <f>("W00002978")</f>
        <v>W00002978</v>
      </c>
      <c r="D953" t="str">
        <f>("Gardens for the future :  gestures against the wild / ")</f>
        <v xml:space="preserve">Gardens for the future :  gestures against the wild / </v>
      </c>
      <c r="E953" t="str">
        <f>("Cooper, Guy. ")</f>
        <v xml:space="preserve">Cooper, Guy. </v>
      </c>
      <c r="F953" t="str">
        <f>(" Monacelli Press, ")</f>
        <v xml:space="preserve"> Monacelli Press, </v>
      </c>
      <c r="H953" t="str">
        <f t="shared" si="388"/>
        <v>圖書 book</v>
      </c>
      <c r="I953" t="str">
        <f>("SB472.45 C777 2000")</f>
        <v>SB472.45 C777 2000</v>
      </c>
      <c r="J953" t="str">
        <f>("1840910879")</f>
        <v>1840910879</v>
      </c>
      <c r="K953" t="str">
        <f>("1498")</f>
        <v>1498</v>
      </c>
      <c r="L953" t="str">
        <f t="shared" si="384"/>
        <v>2001/10/10 00:00:00</v>
      </c>
      <c r="M953" t="str">
        <f t="shared" ref="M953:M962" si="401">("2018/08/11 13:35:08")</f>
        <v>2018/08/11 13:35:08</v>
      </c>
      <c r="N953" t="str">
        <f>("2000")</f>
        <v>2000</v>
      </c>
      <c r="O953" t="str">
        <f t="shared" ref="O953:O970" si="402">("4F西文書庫 4F Western Language Books")</f>
        <v>4F西文書庫 4F Western Language Books</v>
      </c>
      <c r="P953" t="s">
        <v>64</v>
      </c>
      <c r="W953" t="str">
        <f t="shared" si="400"/>
        <v>美國國會圖書分類法</v>
      </c>
      <c r="Y953" t="str">
        <f>("SB472.45")</f>
        <v>SB472.45</v>
      </c>
      <c r="Z953" t="str">
        <f t="shared" si="399"/>
        <v>2018/08/11 13:35:07</v>
      </c>
      <c r="AA953" t="str">
        <f t="shared" si="376"/>
        <v>catc</v>
      </c>
      <c r="AC953" t="str">
        <f>("C777")</f>
        <v>C777</v>
      </c>
      <c r="AE953" t="str">
        <f t="shared" si="394"/>
        <v>c.1</v>
      </c>
      <c r="AF953" t="str">
        <f t="shared" ref="AF953:AF970" si="403">("1.可借圖書")</f>
        <v>1.可借圖書</v>
      </c>
      <c r="AG953" t="str">
        <f t="shared" ref="AG953:AG970" si="404">("在架")</f>
        <v>在架</v>
      </c>
      <c r="AI953" t="s">
        <v>65</v>
      </c>
      <c r="AK953" t="str">
        <f t="shared" si="380"/>
        <v>一般(Normal)</v>
      </c>
      <c r="AO953" t="s">
        <v>65</v>
      </c>
      <c r="AS953" t="str">
        <f>(" 2000. ")</f>
        <v xml:space="preserve"> 2000. </v>
      </c>
      <c r="AT953" t="str">
        <f t="shared" si="381"/>
        <v>catc</v>
      </c>
    </row>
    <row r="954" spans="1:46" x14ac:dyDescent="0.25">
      <c r="A954">
        <v>943</v>
      </c>
      <c r="B954" t="str">
        <f>("289781")</f>
        <v>289781</v>
      </c>
      <c r="C954" t="str">
        <f>("W00002979")</f>
        <v>W00002979</v>
      </c>
      <c r="D954" t="str">
        <f>("Jungle luxe :[indigenous-style hotel and remote resort design around the world] /")</f>
        <v>Jungle luxe :[indigenous-style hotel and remote resort design around the world] /</v>
      </c>
      <c r="E954" t="str">
        <f>("Henderson, Justin ")</f>
        <v xml:space="preserve">Henderson, Justin </v>
      </c>
      <c r="F954" t="str">
        <f>("Rockport,")</f>
        <v>Rockport,</v>
      </c>
      <c r="H954" t="str">
        <f t="shared" si="388"/>
        <v>圖書 book</v>
      </c>
      <c r="I954" t="str">
        <f>("NA7820 H496 2000")</f>
        <v>NA7820 H496 2000</v>
      </c>
      <c r="J954" t="str">
        <f>("1564966690")</f>
        <v>1564966690</v>
      </c>
      <c r="K954" t="str">
        <f>("1400")</f>
        <v>1400</v>
      </c>
      <c r="L954" t="str">
        <f t="shared" si="384"/>
        <v>2001/10/10 00:00:00</v>
      </c>
      <c r="M954" t="str">
        <f t="shared" si="401"/>
        <v>2018/08/11 13:35:08</v>
      </c>
      <c r="N954" t="str">
        <f>("2000")</f>
        <v>2000</v>
      </c>
      <c r="O954" t="str">
        <f t="shared" si="402"/>
        <v>4F西文書庫 4F Western Language Books</v>
      </c>
      <c r="P954" t="s">
        <v>64</v>
      </c>
      <c r="W954" t="str">
        <f t="shared" si="400"/>
        <v>美國國會圖書分類法</v>
      </c>
      <c r="Y954" t="str">
        <f>("NA7820")</f>
        <v>NA7820</v>
      </c>
      <c r="Z954" t="str">
        <f t="shared" ref="Z954:Z963" si="405">("2018/08/11 13:35:08")</f>
        <v>2018/08/11 13:35:08</v>
      </c>
      <c r="AA954" t="str">
        <f t="shared" si="376"/>
        <v>catc</v>
      </c>
      <c r="AC954" t="str">
        <f>("H496")</f>
        <v>H496</v>
      </c>
      <c r="AE954" t="str">
        <f t="shared" si="394"/>
        <v>c.1</v>
      </c>
      <c r="AF954" t="str">
        <f t="shared" si="403"/>
        <v>1.可借圖書</v>
      </c>
      <c r="AG954" t="str">
        <f t="shared" si="404"/>
        <v>在架</v>
      </c>
      <c r="AI954" t="s">
        <v>65</v>
      </c>
      <c r="AK954" t="str">
        <f t="shared" si="380"/>
        <v>一般(Normal)</v>
      </c>
      <c r="AO954" t="s">
        <v>65</v>
      </c>
      <c r="AS954" t="str">
        <f>("c2000 ")</f>
        <v xml:space="preserve">c2000 </v>
      </c>
      <c r="AT954" t="str">
        <f t="shared" si="381"/>
        <v>catc</v>
      </c>
    </row>
    <row r="955" spans="1:46" x14ac:dyDescent="0.25">
      <c r="A955">
        <v>944</v>
      </c>
      <c r="B955" t="str">
        <f>("289782")</f>
        <v>289782</v>
      </c>
      <c r="C955" t="str">
        <f>("W00002980")</f>
        <v>W00002980</v>
      </c>
      <c r="D955" t="str">
        <f>("American Business English Program:  Elementary(Course Book)/ ")</f>
        <v xml:space="preserve">American Business English Program:  Elementary(Course Book)/ </v>
      </c>
      <c r="E955" t="str">
        <f>("Barger, Ian")</f>
        <v>Barger, Ian</v>
      </c>
      <c r="F955" t="str">
        <f>("MACMILLAN PUBLISHERS, ")</f>
        <v xml:space="preserve">MACMILLAN PUBLISHERS, </v>
      </c>
      <c r="G955" t="str">
        <f>("1at. ed.")</f>
        <v>1at. ed.</v>
      </c>
      <c r="H955" t="str">
        <f t="shared" si="388"/>
        <v>圖書 book</v>
      </c>
      <c r="I955" t="str">
        <f>("PE1115 B251 1993")</f>
        <v>PE1115 B251 1993</v>
      </c>
      <c r="J955" t="str">
        <f>("033360735X")</f>
        <v>033360735X</v>
      </c>
      <c r="K955" t="str">
        <f>("560")</f>
        <v>560</v>
      </c>
      <c r="L955" t="str">
        <f t="shared" si="384"/>
        <v>2001/10/10 00:00:00</v>
      </c>
      <c r="M955" t="str">
        <f t="shared" si="401"/>
        <v>2018/08/11 13:35:08</v>
      </c>
      <c r="N955" t="str">
        <f>("1993")</f>
        <v>1993</v>
      </c>
      <c r="O955" t="str">
        <f t="shared" si="402"/>
        <v>4F西文書庫 4F Western Language Books</v>
      </c>
      <c r="P955" t="s">
        <v>64</v>
      </c>
      <c r="W955" t="str">
        <f t="shared" si="400"/>
        <v>美國國會圖書分類法</v>
      </c>
      <c r="Y955" t="str">
        <f>("PE1115")</f>
        <v>PE1115</v>
      </c>
      <c r="Z955" t="str">
        <f t="shared" si="405"/>
        <v>2018/08/11 13:35:08</v>
      </c>
      <c r="AA955" t="str">
        <f t="shared" si="376"/>
        <v>catc</v>
      </c>
      <c r="AC955" t="str">
        <f>("B251")</f>
        <v>B251</v>
      </c>
      <c r="AE955" t="str">
        <f t="shared" si="394"/>
        <v>c.1</v>
      </c>
      <c r="AF955" t="str">
        <f t="shared" si="403"/>
        <v>1.可借圖書</v>
      </c>
      <c r="AG955" t="str">
        <f t="shared" si="404"/>
        <v>在架</v>
      </c>
      <c r="AI955" t="s">
        <v>65</v>
      </c>
      <c r="AK955" t="str">
        <f t="shared" si="380"/>
        <v>一般(Normal)</v>
      </c>
      <c r="AO955" t="s">
        <v>65</v>
      </c>
      <c r="AS955" t="str">
        <f>("1993.")</f>
        <v>1993.</v>
      </c>
      <c r="AT955" t="str">
        <f t="shared" si="381"/>
        <v>catc</v>
      </c>
    </row>
    <row r="956" spans="1:46" x14ac:dyDescent="0.25">
      <c r="A956">
        <v>945</v>
      </c>
      <c r="B956" t="str">
        <f>("289783")</f>
        <v>289783</v>
      </c>
      <c r="C956" t="str">
        <f>("W00002981")</f>
        <v>W00002981</v>
      </c>
      <c r="D956" t="str">
        <f>("Red Hat Linux 6.0 administration tools / ")</f>
        <v xml:space="preserve">Red Hat Linux 6.0 administration tools / </v>
      </c>
      <c r="E956" t="str">
        <f>("Fisher, Charles. ")</f>
        <v xml:space="preserve">Fisher, Charles. </v>
      </c>
      <c r="F956" t="str">
        <f>(" McGraw-Hill, ")</f>
        <v xml:space="preserve"> McGraw-Hill, </v>
      </c>
      <c r="H956" t="str">
        <f t="shared" si="388"/>
        <v>圖書 book</v>
      </c>
      <c r="I956" t="str">
        <f>("QA76.76.O63 F533 2000")</f>
        <v>QA76.76.O63 F533 2000</v>
      </c>
      <c r="J956" t="str">
        <f>("0071347461")</f>
        <v>0071347461</v>
      </c>
      <c r="K956" t="str">
        <f>("1120")</f>
        <v>1120</v>
      </c>
      <c r="L956" t="str">
        <f t="shared" si="384"/>
        <v>2001/10/10 00:00:00</v>
      </c>
      <c r="M956" t="str">
        <f t="shared" si="401"/>
        <v>2018/08/11 13:35:08</v>
      </c>
      <c r="N956" t="str">
        <f>("2000")</f>
        <v>2000</v>
      </c>
      <c r="O956" t="str">
        <f t="shared" si="402"/>
        <v>4F西文書庫 4F Western Language Books</v>
      </c>
      <c r="P956" t="s">
        <v>64</v>
      </c>
      <c r="W956" t="str">
        <f t="shared" si="400"/>
        <v>美國國會圖書分類法</v>
      </c>
      <c r="Y956" t="str">
        <f>("QA76.76.O63")</f>
        <v>QA76.76.O63</v>
      </c>
      <c r="Z956" t="str">
        <f t="shared" si="405"/>
        <v>2018/08/11 13:35:08</v>
      </c>
      <c r="AA956" t="str">
        <f t="shared" si="376"/>
        <v>catc</v>
      </c>
      <c r="AC956" t="str">
        <f>("F533")</f>
        <v>F533</v>
      </c>
      <c r="AE956" t="str">
        <f t="shared" si="394"/>
        <v>c.1</v>
      </c>
      <c r="AF956" t="str">
        <f t="shared" si="403"/>
        <v>1.可借圖書</v>
      </c>
      <c r="AG956" t="str">
        <f t="shared" si="404"/>
        <v>在架</v>
      </c>
      <c r="AI956" t="s">
        <v>65</v>
      </c>
      <c r="AK956" t="str">
        <f t="shared" si="380"/>
        <v>一般(Normal)</v>
      </c>
      <c r="AO956" t="s">
        <v>65</v>
      </c>
      <c r="AS956" t="str">
        <f>(" c2000. ")</f>
        <v xml:space="preserve"> c2000. </v>
      </c>
      <c r="AT956" t="str">
        <f t="shared" si="381"/>
        <v>catc</v>
      </c>
    </row>
    <row r="957" spans="1:46" x14ac:dyDescent="0.25">
      <c r="A957">
        <v>946</v>
      </c>
      <c r="B957" t="str">
        <f>("289784")</f>
        <v>289784</v>
      </c>
      <c r="C957" t="str">
        <f>("W00002982")</f>
        <v>W00002982</v>
      </c>
      <c r="D957" t="str">
        <f>("Call center handbookthe complete guide to starting, running and improving your call center /")</f>
        <v>Call center handbookthe complete guide to starting, running and improving your call center /</v>
      </c>
      <c r="E957" t="str">
        <f>("Dawson, Keith ")</f>
        <v xml:space="preserve">Dawson, Keith </v>
      </c>
      <c r="F957" t="str">
        <f>("Telecom,")</f>
        <v>Telecom,</v>
      </c>
      <c r="G957" t="str">
        <f>("3rd ed ")</f>
        <v xml:space="preserve">3rd ed </v>
      </c>
      <c r="H957" t="str">
        <f t="shared" si="388"/>
        <v>圖書 book</v>
      </c>
      <c r="I957" t="str">
        <f>("HG1616.C29 D272 1999")</f>
        <v>HG1616.C29 D272 1999</v>
      </c>
      <c r="J957" t="str">
        <f>("1578200474")</f>
        <v>1578200474</v>
      </c>
      <c r="K957" t="str">
        <f>("984")</f>
        <v>984</v>
      </c>
      <c r="L957" t="str">
        <f t="shared" si="384"/>
        <v>2001/10/10 00:00:00</v>
      </c>
      <c r="M957" t="str">
        <f t="shared" si="401"/>
        <v>2018/08/11 13:35:08</v>
      </c>
      <c r="N957" t="str">
        <f>("1999")</f>
        <v>1999</v>
      </c>
      <c r="O957" t="str">
        <f t="shared" si="402"/>
        <v>4F西文書庫 4F Western Language Books</v>
      </c>
      <c r="P957" t="s">
        <v>64</v>
      </c>
      <c r="W957" t="str">
        <f t="shared" si="400"/>
        <v>美國國會圖書分類法</v>
      </c>
      <c r="Y957" t="str">
        <f>("HG1616.C29")</f>
        <v>HG1616.C29</v>
      </c>
      <c r="Z957" t="str">
        <f t="shared" si="405"/>
        <v>2018/08/11 13:35:08</v>
      </c>
      <c r="AA957" t="str">
        <f t="shared" si="376"/>
        <v>catc</v>
      </c>
      <c r="AC957" t="str">
        <f>("D272")</f>
        <v>D272</v>
      </c>
      <c r="AE957" t="str">
        <f t="shared" si="394"/>
        <v>c.1</v>
      </c>
      <c r="AF957" t="str">
        <f t="shared" si="403"/>
        <v>1.可借圖書</v>
      </c>
      <c r="AG957" t="str">
        <f t="shared" si="404"/>
        <v>在架</v>
      </c>
      <c r="AI957" t="s">
        <v>65</v>
      </c>
      <c r="AK957" t="str">
        <f t="shared" si="380"/>
        <v>一般(Normal)</v>
      </c>
      <c r="AO957" t="s">
        <v>65</v>
      </c>
      <c r="AS957" t="str">
        <f>("1999 ")</f>
        <v xml:space="preserve">1999 </v>
      </c>
      <c r="AT957" t="str">
        <f t="shared" si="381"/>
        <v>catc</v>
      </c>
    </row>
    <row r="958" spans="1:46" x14ac:dyDescent="0.25">
      <c r="A958">
        <v>947</v>
      </c>
      <c r="B958" t="str">
        <f>("289778")</f>
        <v>289778</v>
      </c>
      <c r="C958" t="str">
        <f>("W00002983")</f>
        <v>W00002983</v>
      </c>
      <c r="D958" t="str">
        <f>("The Telephony Tutorials: A practical guide for managing business telecommunications resources/ ")</f>
        <v xml:space="preserve">The Telephony Tutorials: A practical guide for managing business telecommunications resources/ </v>
      </c>
      <c r="E958" t="str">
        <f>("Laino, Jane ")</f>
        <v xml:space="preserve">Laino, Jane </v>
      </c>
      <c r="F958" t="str">
        <f>("Telecom Books, ")</f>
        <v xml:space="preserve">Telecom Books, </v>
      </c>
      <c r="G958" t="str">
        <f>("1st. ed.")</f>
        <v>1st. ed.</v>
      </c>
      <c r="H958" t="str">
        <f t="shared" si="388"/>
        <v>圖書 book</v>
      </c>
      <c r="I958" t="str">
        <f>("TK6161 L186 2000")</f>
        <v>TK6161 L186 2000</v>
      </c>
      <c r="J958" t="str">
        <f>("1578200598")</f>
        <v>1578200598</v>
      </c>
      <c r="K958" t="str">
        <f>("560")</f>
        <v>560</v>
      </c>
      <c r="L958" t="str">
        <f t="shared" si="384"/>
        <v>2001/10/10 00:00:00</v>
      </c>
      <c r="M958" t="str">
        <f t="shared" si="401"/>
        <v>2018/08/11 13:35:08</v>
      </c>
      <c r="N958" t="str">
        <f>("2000")</f>
        <v>2000</v>
      </c>
      <c r="O958" t="str">
        <f t="shared" si="402"/>
        <v>4F西文書庫 4F Western Language Books</v>
      </c>
      <c r="P958" t="s">
        <v>64</v>
      </c>
      <c r="W958" t="str">
        <f t="shared" si="400"/>
        <v>美國國會圖書分類法</v>
      </c>
      <c r="Y958" t="str">
        <f>("TK6161")</f>
        <v>TK6161</v>
      </c>
      <c r="Z958" t="str">
        <f t="shared" si="405"/>
        <v>2018/08/11 13:35:08</v>
      </c>
      <c r="AA958" t="str">
        <f t="shared" si="376"/>
        <v>catc</v>
      </c>
      <c r="AC958" t="str">
        <f>("L186")</f>
        <v>L186</v>
      </c>
      <c r="AE958" t="str">
        <f t="shared" si="394"/>
        <v>c.1</v>
      </c>
      <c r="AF958" t="str">
        <f t="shared" si="403"/>
        <v>1.可借圖書</v>
      </c>
      <c r="AG958" t="str">
        <f t="shared" si="404"/>
        <v>在架</v>
      </c>
      <c r="AI958" t="s">
        <v>65</v>
      </c>
      <c r="AK958" t="str">
        <f t="shared" si="380"/>
        <v>一般(Normal)</v>
      </c>
      <c r="AO958" t="s">
        <v>65</v>
      </c>
      <c r="AS958" t="str">
        <f>("2000.")</f>
        <v>2000.</v>
      </c>
      <c r="AT958" t="str">
        <f t="shared" si="381"/>
        <v>catc</v>
      </c>
    </row>
    <row r="959" spans="1:46" x14ac:dyDescent="0.25">
      <c r="A959">
        <v>948</v>
      </c>
      <c r="B959" t="str">
        <f>("289779")</f>
        <v>289779</v>
      </c>
      <c r="C959" t="str">
        <f>("W00002984")</f>
        <v>W00002984</v>
      </c>
      <c r="D959" t="str">
        <f>("a guide to choosing the best technologies and services/ ")</f>
        <v xml:space="preserve">a guide to choosing the best technologies and services/ </v>
      </c>
      <c r="E959" t="str">
        <f>("Peterson, Kerstin Day ")</f>
        <v xml:space="preserve">Peterson, Kerstin Day </v>
      </c>
      <c r="F959" t="str">
        <f>("CMP books, ")</f>
        <v xml:space="preserve">CMP books, </v>
      </c>
      <c r="H959" t="str">
        <f t="shared" si="388"/>
        <v>圖書 book</v>
      </c>
      <c r="I959" t="str">
        <f>("T23.A1 P485 2000")</f>
        <v>T23.A1 P485 2000</v>
      </c>
      <c r="J959" t="str">
        <f>("1578200415")</f>
        <v>1578200415</v>
      </c>
      <c r="K959" t="str">
        <f>("704")</f>
        <v>704</v>
      </c>
      <c r="L959" t="str">
        <f t="shared" si="384"/>
        <v>2001/10/10 00:00:00</v>
      </c>
      <c r="M959" t="str">
        <f t="shared" si="401"/>
        <v>2018/08/11 13:35:08</v>
      </c>
      <c r="N959" t="str">
        <f>("2000")</f>
        <v>2000</v>
      </c>
      <c r="O959" t="str">
        <f t="shared" si="402"/>
        <v>4F西文書庫 4F Western Language Books</v>
      </c>
      <c r="P959" t="s">
        <v>64</v>
      </c>
      <c r="W959" t="str">
        <f t="shared" si="400"/>
        <v>美國國會圖書分類法</v>
      </c>
      <c r="Y959" t="str">
        <f>("T23.A1")</f>
        <v>T23.A1</v>
      </c>
      <c r="Z959" t="str">
        <f t="shared" si="405"/>
        <v>2018/08/11 13:35:08</v>
      </c>
      <c r="AA959" t="str">
        <f t="shared" si="376"/>
        <v>catc</v>
      </c>
      <c r="AC959" t="str">
        <f>("P485")</f>
        <v>P485</v>
      </c>
      <c r="AE959" t="str">
        <f t="shared" si="394"/>
        <v>c.1</v>
      </c>
      <c r="AF959" t="str">
        <f t="shared" si="403"/>
        <v>1.可借圖書</v>
      </c>
      <c r="AG959" t="str">
        <f t="shared" si="404"/>
        <v>在架</v>
      </c>
      <c r="AI959" t="s">
        <v>65</v>
      </c>
      <c r="AK959" t="str">
        <f t="shared" si="380"/>
        <v>一般(Normal)</v>
      </c>
      <c r="AO959" t="s">
        <v>65</v>
      </c>
      <c r="AS959" t="str">
        <f>("2000.")</f>
        <v>2000.</v>
      </c>
      <c r="AT959" t="str">
        <f t="shared" si="381"/>
        <v>catc</v>
      </c>
    </row>
    <row r="960" spans="1:46" x14ac:dyDescent="0.25">
      <c r="A960">
        <v>949</v>
      </c>
      <c r="B960" t="str">
        <f>("289780")</f>
        <v>289780</v>
      </c>
      <c r="C960" t="str">
        <f>("W00002985")</f>
        <v>W00002985</v>
      </c>
      <c r="D960" t="str">
        <f>("Java 2 programmer's reference / ")</f>
        <v xml:space="preserve">Java 2 programmer's reference / </v>
      </c>
      <c r="E960" t="str">
        <f>("Schildt, Herbert. ")</f>
        <v xml:space="preserve">Schildt, Herbert. </v>
      </c>
      <c r="F960" t="str">
        <f>(" Osborne/McGraw-Hill, ")</f>
        <v xml:space="preserve"> Osborne/McGraw-Hill, </v>
      </c>
      <c r="H960" t="str">
        <f t="shared" si="388"/>
        <v>圖書 book</v>
      </c>
      <c r="I960" t="str">
        <f>("QA76.73.J38 S334 2000")</f>
        <v>QA76.73.J38 S334 2000</v>
      </c>
      <c r="J960" t="str">
        <f>("0072123540")</f>
        <v>0072123540</v>
      </c>
      <c r="K960" t="str">
        <f>("560")</f>
        <v>560</v>
      </c>
      <c r="L960" t="str">
        <f t="shared" si="384"/>
        <v>2001/10/10 00:00:00</v>
      </c>
      <c r="M960" t="str">
        <f t="shared" si="401"/>
        <v>2018/08/11 13:35:08</v>
      </c>
      <c r="N960" t="str">
        <f>("2000")</f>
        <v>2000</v>
      </c>
      <c r="O960" t="str">
        <f t="shared" si="402"/>
        <v>4F西文書庫 4F Western Language Books</v>
      </c>
      <c r="P960" t="s">
        <v>64</v>
      </c>
      <c r="W960" t="str">
        <f t="shared" si="400"/>
        <v>美國國會圖書分類法</v>
      </c>
      <c r="Y960" t="str">
        <f>("QA76.73.J38")</f>
        <v>QA76.73.J38</v>
      </c>
      <c r="Z960" t="str">
        <f t="shared" si="405"/>
        <v>2018/08/11 13:35:08</v>
      </c>
      <c r="AA960" t="str">
        <f t="shared" si="376"/>
        <v>catc</v>
      </c>
      <c r="AC960" t="str">
        <f>("S334")</f>
        <v>S334</v>
      </c>
      <c r="AE960" t="str">
        <f t="shared" si="394"/>
        <v>c.1</v>
      </c>
      <c r="AF960" t="str">
        <f t="shared" si="403"/>
        <v>1.可借圖書</v>
      </c>
      <c r="AG960" t="str">
        <f t="shared" si="404"/>
        <v>在架</v>
      </c>
      <c r="AI960" t="s">
        <v>65</v>
      </c>
      <c r="AK960" t="str">
        <f t="shared" si="380"/>
        <v>一般(Normal)</v>
      </c>
      <c r="AO960" t="s">
        <v>65</v>
      </c>
      <c r="AS960" t="str">
        <f>(" c2000. ")</f>
        <v xml:space="preserve"> c2000. </v>
      </c>
      <c r="AT960" t="str">
        <f t="shared" si="381"/>
        <v>catc</v>
      </c>
    </row>
    <row r="961" spans="1:46" x14ac:dyDescent="0.25">
      <c r="A961">
        <v>950</v>
      </c>
      <c r="B961" t="str">
        <f>("289801")</f>
        <v>289801</v>
      </c>
      <c r="C961" t="str">
        <f>("W00002986")</f>
        <v>W00002986</v>
      </c>
      <c r="D961" t="str">
        <f>("American Business English Program:  Elementary(/ ")</f>
        <v xml:space="preserve">American Business English Program:  Elementary(/ </v>
      </c>
      <c r="E961" t="str">
        <f>("Barger, Ian")</f>
        <v>Barger, Ian</v>
      </c>
      <c r="F961" t="str">
        <f>("LONGMAN, ")</f>
        <v xml:space="preserve">LONGMAN, </v>
      </c>
      <c r="G961" t="str">
        <f>("1at. ed.")</f>
        <v>1at. ed.</v>
      </c>
      <c r="H961" t="str">
        <f t="shared" si="388"/>
        <v>圖書 book</v>
      </c>
      <c r="I961" t="str">
        <f>("PE1115 B251-2 1999")</f>
        <v>PE1115 B251-2 1999</v>
      </c>
      <c r="J961" t="str">
        <f>("0135190673")</f>
        <v>0135190673</v>
      </c>
      <c r="K961" t="str">
        <f>("560")</f>
        <v>560</v>
      </c>
      <c r="L961" t="str">
        <f t="shared" si="384"/>
        <v>2001/10/10 00:00:00</v>
      </c>
      <c r="M961" t="str">
        <f t="shared" si="401"/>
        <v>2018/08/11 13:35:08</v>
      </c>
      <c r="N961" t="str">
        <f>("1999")</f>
        <v>1999</v>
      </c>
      <c r="O961" t="str">
        <f t="shared" si="402"/>
        <v>4F西文書庫 4F Western Language Books</v>
      </c>
      <c r="P961" t="s">
        <v>64</v>
      </c>
      <c r="W961" t="str">
        <f t="shared" si="400"/>
        <v>美國國會圖書分類法</v>
      </c>
      <c r="Y961" t="str">
        <f>("PE1115")</f>
        <v>PE1115</v>
      </c>
      <c r="Z961" t="str">
        <f t="shared" si="405"/>
        <v>2018/08/11 13:35:08</v>
      </c>
      <c r="AA961" t="str">
        <f t="shared" si="376"/>
        <v>catc</v>
      </c>
      <c r="AC961" t="str">
        <f>("B251-2")</f>
        <v>B251-2</v>
      </c>
      <c r="AE961" t="str">
        <f t="shared" si="394"/>
        <v>c.1</v>
      </c>
      <c r="AF961" t="str">
        <f t="shared" si="403"/>
        <v>1.可借圖書</v>
      </c>
      <c r="AG961" t="str">
        <f t="shared" si="404"/>
        <v>在架</v>
      </c>
      <c r="AI961" t="s">
        <v>65</v>
      </c>
      <c r="AK961" t="str">
        <f t="shared" si="380"/>
        <v>一般(Normal)</v>
      </c>
      <c r="AO961" t="s">
        <v>65</v>
      </c>
      <c r="AS961" t="str">
        <f>("1999.")</f>
        <v>1999.</v>
      </c>
      <c r="AT961" t="str">
        <f t="shared" si="381"/>
        <v>catc</v>
      </c>
    </row>
    <row r="962" spans="1:46" x14ac:dyDescent="0.25">
      <c r="A962">
        <v>951</v>
      </c>
      <c r="B962" t="str">
        <f>("289802")</f>
        <v>289802</v>
      </c>
      <c r="C962" t="str">
        <f>("W00002987")</f>
        <v>W00002987</v>
      </c>
      <c r="D962" t="str">
        <f>("The Heinle &amp; Heinle TOEFL test assistant :  Vocabulary / ")</f>
        <v xml:space="preserve">The Heinle &amp; Heinle TOEFL test assistant :  Vocabulary / </v>
      </c>
      <c r="E962" t="str">
        <f>("Broukal, Milada. ")</f>
        <v xml:space="preserve">Broukal, Milada. </v>
      </c>
      <c r="F962" t="str">
        <f>(" Heinle &amp; Heinle Publishers, ")</f>
        <v xml:space="preserve"> Heinle &amp; Heinle Publishers, </v>
      </c>
      <c r="H962" t="str">
        <f t="shared" si="388"/>
        <v>圖書 book</v>
      </c>
      <c r="I962" t="str">
        <f>("PE1122 B875 1994")</f>
        <v>PE1122 B875 1994</v>
      </c>
      <c r="J962" t="str">
        <f>("083844280")</f>
        <v>083844280</v>
      </c>
      <c r="K962" t="str">
        <f>("468")</f>
        <v>468</v>
      </c>
      <c r="L962" t="str">
        <f t="shared" si="384"/>
        <v>2001/10/10 00:00:00</v>
      </c>
      <c r="M962" t="str">
        <f t="shared" si="401"/>
        <v>2018/08/11 13:35:08</v>
      </c>
      <c r="N962" t="str">
        <f>("1994")</f>
        <v>1994</v>
      </c>
      <c r="O962" t="str">
        <f t="shared" si="402"/>
        <v>4F西文書庫 4F Western Language Books</v>
      </c>
      <c r="P962" t="s">
        <v>64</v>
      </c>
      <c r="W962" t="str">
        <f t="shared" si="400"/>
        <v>美國國會圖書分類法</v>
      </c>
      <c r="Y962" t="str">
        <f>("PE1122")</f>
        <v>PE1122</v>
      </c>
      <c r="Z962" t="str">
        <f t="shared" si="405"/>
        <v>2018/08/11 13:35:08</v>
      </c>
      <c r="AA962" t="str">
        <f t="shared" si="376"/>
        <v>catc</v>
      </c>
      <c r="AC962" t="str">
        <f>("B875")</f>
        <v>B875</v>
      </c>
      <c r="AE962" t="str">
        <f t="shared" si="394"/>
        <v>c.1</v>
      </c>
      <c r="AF962" t="str">
        <f t="shared" si="403"/>
        <v>1.可借圖書</v>
      </c>
      <c r="AG962" t="str">
        <f t="shared" si="404"/>
        <v>在架</v>
      </c>
      <c r="AI962" t="s">
        <v>65</v>
      </c>
      <c r="AK962" t="str">
        <f t="shared" si="380"/>
        <v>一般(Normal)</v>
      </c>
      <c r="AO962" t="s">
        <v>65</v>
      </c>
      <c r="AS962" t="str">
        <f>(" 1994. ")</f>
        <v xml:space="preserve"> 1994. </v>
      </c>
      <c r="AT962" t="str">
        <f t="shared" si="381"/>
        <v>catc</v>
      </c>
    </row>
    <row r="963" spans="1:46" x14ac:dyDescent="0.25">
      <c r="A963">
        <v>952</v>
      </c>
      <c r="B963" t="str">
        <f>("289803")</f>
        <v>289803</v>
      </c>
      <c r="C963" t="str">
        <f>("W00002988")</f>
        <v>W00002988</v>
      </c>
      <c r="D963" t="str">
        <f>("The Heinle &amp; Heinle TOEFL test assistant :  Reading / ")</f>
        <v xml:space="preserve">The Heinle &amp; Heinle TOEFL test assistant :  Reading / </v>
      </c>
      <c r="E963" t="str">
        <f>("Broukal, Milada. ")</f>
        <v xml:space="preserve">Broukal, Milada. </v>
      </c>
      <c r="F963" t="str">
        <f>(" Heinle &amp; Heinle Publishers, ")</f>
        <v xml:space="preserve"> Heinle &amp; Heinle Publishers, </v>
      </c>
      <c r="H963" t="str">
        <f t="shared" si="388"/>
        <v>圖書 book</v>
      </c>
      <c r="I963" t="str">
        <f>("PE1128 B875-2 1994")</f>
        <v>PE1128 B875-2 1994</v>
      </c>
      <c r="J963" t="str">
        <f>("0838442765")</f>
        <v>0838442765</v>
      </c>
      <c r="K963" t="str">
        <f>("456")</f>
        <v>456</v>
      </c>
      <c r="L963" t="str">
        <f t="shared" si="384"/>
        <v>2001/10/10 00:00:00</v>
      </c>
      <c r="M963" t="str">
        <f>("2018/08/11 13:35:09")</f>
        <v>2018/08/11 13:35:09</v>
      </c>
      <c r="N963" t="str">
        <f>("1994")</f>
        <v>1994</v>
      </c>
      <c r="O963" t="str">
        <f t="shared" si="402"/>
        <v>4F西文書庫 4F Western Language Books</v>
      </c>
      <c r="P963" t="s">
        <v>64</v>
      </c>
      <c r="W963" t="str">
        <f t="shared" si="400"/>
        <v>美國國會圖書分類法</v>
      </c>
      <c r="Y963" t="str">
        <f>("PE1128")</f>
        <v>PE1128</v>
      </c>
      <c r="Z963" t="str">
        <f t="shared" si="405"/>
        <v>2018/08/11 13:35:08</v>
      </c>
      <c r="AA963" t="str">
        <f t="shared" si="376"/>
        <v>catc</v>
      </c>
      <c r="AC963" t="str">
        <f>("B875-2")</f>
        <v>B875-2</v>
      </c>
      <c r="AE963" t="str">
        <f t="shared" si="394"/>
        <v>c.1</v>
      </c>
      <c r="AF963" t="str">
        <f t="shared" si="403"/>
        <v>1.可借圖書</v>
      </c>
      <c r="AG963" t="str">
        <f t="shared" si="404"/>
        <v>在架</v>
      </c>
      <c r="AI963" t="s">
        <v>65</v>
      </c>
      <c r="AK963" t="str">
        <f t="shared" si="380"/>
        <v>一般(Normal)</v>
      </c>
      <c r="AO963" t="s">
        <v>65</v>
      </c>
      <c r="AS963" t="str">
        <f>(" 1995. ")</f>
        <v xml:space="preserve"> 1995. </v>
      </c>
      <c r="AT963" t="str">
        <f t="shared" si="381"/>
        <v>catc</v>
      </c>
    </row>
    <row r="964" spans="1:46" x14ac:dyDescent="0.25">
      <c r="A964">
        <v>953</v>
      </c>
      <c r="B964" t="str">
        <f>("289785")</f>
        <v>289785</v>
      </c>
      <c r="C964" t="str">
        <f>("W00002989")</f>
        <v>W00002989</v>
      </c>
      <c r="D964" t="str">
        <f>("The Heinle &amp; Heinle TOEFL test assistant :  listening / ")</f>
        <v xml:space="preserve">The Heinle &amp; Heinle TOEFL test assistant :  listening / </v>
      </c>
      <c r="E964" t="str">
        <f>("Broukal, Milada. ")</f>
        <v xml:space="preserve">Broukal, Milada. </v>
      </c>
      <c r="F964" t="str">
        <f>(" Heinle &amp; Heinle Publishers, ")</f>
        <v xml:space="preserve"> Heinle &amp; Heinle Publishers, </v>
      </c>
      <c r="H964" t="str">
        <f t="shared" si="388"/>
        <v>圖書 book</v>
      </c>
      <c r="I964" t="str">
        <f>("PE1128 B875-3 1995")</f>
        <v>PE1128 B875-3 1995</v>
      </c>
      <c r="J964" t="str">
        <f>("0838446973")</f>
        <v>0838446973</v>
      </c>
      <c r="K964" t="str">
        <f>("468")</f>
        <v>468</v>
      </c>
      <c r="L964" t="str">
        <f t="shared" si="384"/>
        <v>2001/10/10 00:00:00</v>
      </c>
      <c r="M964" t="str">
        <f>("2018/08/11 13:35:09")</f>
        <v>2018/08/11 13:35:09</v>
      </c>
      <c r="N964" t="str">
        <f>("1995")</f>
        <v>1995</v>
      </c>
      <c r="O964" t="str">
        <f t="shared" si="402"/>
        <v>4F西文書庫 4F Western Language Books</v>
      </c>
      <c r="P964" t="s">
        <v>64</v>
      </c>
      <c r="W964" t="str">
        <f t="shared" si="400"/>
        <v>美國國會圖書分類法</v>
      </c>
      <c r="Y964" t="str">
        <f>("PE1128")</f>
        <v>PE1128</v>
      </c>
      <c r="Z964" t="str">
        <f>("2018/08/11 13:35:09")</f>
        <v>2018/08/11 13:35:09</v>
      </c>
      <c r="AA964" t="str">
        <f t="shared" si="376"/>
        <v>catc</v>
      </c>
      <c r="AC964" t="str">
        <f>("B875-3")</f>
        <v>B875-3</v>
      </c>
      <c r="AE964" t="str">
        <f t="shared" si="394"/>
        <v>c.1</v>
      </c>
      <c r="AF964" t="str">
        <f t="shared" si="403"/>
        <v>1.可借圖書</v>
      </c>
      <c r="AG964" t="str">
        <f t="shared" si="404"/>
        <v>在架</v>
      </c>
      <c r="AI964" t="s">
        <v>65</v>
      </c>
      <c r="AK964" t="str">
        <f t="shared" si="380"/>
        <v>一般(Normal)</v>
      </c>
      <c r="AO964" t="s">
        <v>65</v>
      </c>
      <c r="AS964" t="str">
        <f>(" 1995. ")</f>
        <v xml:space="preserve"> 1995. </v>
      </c>
      <c r="AT964" t="str">
        <f t="shared" si="381"/>
        <v>catc</v>
      </c>
    </row>
    <row r="965" spans="1:46" x14ac:dyDescent="0.25">
      <c r="A965">
        <v>954</v>
      </c>
      <c r="B965" t="str">
        <f>("289786")</f>
        <v>289786</v>
      </c>
      <c r="C965" t="str">
        <f>("W00002990")</f>
        <v>W00002990</v>
      </c>
      <c r="D965" t="str">
        <f>("how to Teach English: An introduction to the practice of English language teaching/ ")</f>
        <v xml:space="preserve">how to Teach English: An introduction to the practice of English language teaching/ </v>
      </c>
      <c r="E965" t="str">
        <f>("Harmer, Jeremy")</f>
        <v>Harmer, Jeremy</v>
      </c>
      <c r="F965" t="str">
        <f>("Longman, ")</f>
        <v xml:space="preserve">Longman, </v>
      </c>
      <c r="G965" t="str">
        <f>("6th. ed.")</f>
        <v>6th. ed.</v>
      </c>
      <c r="H965" t="str">
        <f t="shared" si="388"/>
        <v>圖書 book</v>
      </c>
      <c r="I965" t="str">
        <f>("LB1631 H287 2000")</f>
        <v>LB1631 H287 2000</v>
      </c>
      <c r="J965" t="str">
        <f>("0582297966")</f>
        <v>0582297966</v>
      </c>
      <c r="K965" t="str">
        <f>("728")</f>
        <v>728</v>
      </c>
      <c r="L965" t="str">
        <f t="shared" si="384"/>
        <v>2001/10/10 00:00:00</v>
      </c>
      <c r="M965" t="str">
        <f>("2018/08/11 13:35:09")</f>
        <v>2018/08/11 13:35:09</v>
      </c>
      <c r="N965" t="str">
        <f>("2000")</f>
        <v>2000</v>
      </c>
      <c r="O965" t="str">
        <f t="shared" si="402"/>
        <v>4F西文書庫 4F Western Language Books</v>
      </c>
      <c r="P965" t="s">
        <v>64</v>
      </c>
      <c r="W965" t="str">
        <f t="shared" si="400"/>
        <v>美國國會圖書分類法</v>
      </c>
      <c r="Y965" t="str">
        <f>("LB1631")</f>
        <v>LB1631</v>
      </c>
      <c r="Z965" t="str">
        <f>("2018/08/11 13:35:09")</f>
        <v>2018/08/11 13:35:09</v>
      </c>
      <c r="AA965" t="str">
        <f t="shared" si="376"/>
        <v>catc</v>
      </c>
      <c r="AC965" t="str">
        <f>("H287")</f>
        <v>H287</v>
      </c>
      <c r="AE965" t="str">
        <f t="shared" si="394"/>
        <v>c.1</v>
      </c>
      <c r="AF965" t="str">
        <f t="shared" si="403"/>
        <v>1.可借圖書</v>
      </c>
      <c r="AG965" t="str">
        <f t="shared" si="404"/>
        <v>在架</v>
      </c>
      <c r="AI965" t="s">
        <v>65</v>
      </c>
      <c r="AK965" t="str">
        <f t="shared" si="380"/>
        <v>一般(Normal)</v>
      </c>
      <c r="AO965" t="s">
        <v>65</v>
      </c>
      <c r="AS965" t="str">
        <f>("2000.")</f>
        <v>2000.</v>
      </c>
      <c r="AT965" t="str">
        <f t="shared" si="381"/>
        <v>catc</v>
      </c>
    </row>
    <row r="966" spans="1:46" x14ac:dyDescent="0.25">
      <c r="A966">
        <v>955</v>
      </c>
      <c r="B966" t="str">
        <f>("289787")</f>
        <v>289787</v>
      </c>
      <c r="C966" t="str">
        <f>("W00002991")</f>
        <v>W00002991</v>
      </c>
      <c r="D966" t="str">
        <f>("American Business English Program:  Intermediate/ ")</f>
        <v xml:space="preserve">American Business English Program:  Intermediate/ </v>
      </c>
      <c r="E966" t="str">
        <f>("Barger, Ian")</f>
        <v>Barger, Ian</v>
      </c>
      <c r="F966" t="str">
        <f>("PHOENIX, ")</f>
        <v xml:space="preserve">PHOENIX, </v>
      </c>
      <c r="G966" t="str">
        <f>("1at. ed.")</f>
        <v>1at. ed.</v>
      </c>
      <c r="H966" t="str">
        <f t="shared" si="388"/>
        <v>圖書 book</v>
      </c>
      <c r="I966" t="str">
        <f>("PE1115 B251-3 1995")</f>
        <v>PE1115 B251-3 1995</v>
      </c>
      <c r="J966" t="str">
        <f>("0132410680")</f>
        <v>0132410680</v>
      </c>
      <c r="K966" t="str">
        <f>("560")</f>
        <v>560</v>
      </c>
      <c r="L966" t="str">
        <f t="shared" si="384"/>
        <v>2001/10/10 00:00:00</v>
      </c>
      <c r="M966" t="str">
        <f>("2018/08/11 13:35:09")</f>
        <v>2018/08/11 13:35:09</v>
      </c>
      <c r="N966" t="str">
        <f>("1995")</f>
        <v>1995</v>
      </c>
      <c r="O966" t="str">
        <f t="shared" si="402"/>
        <v>4F西文書庫 4F Western Language Books</v>
      </c>
      <c r="P966" t="s">
        <v>64</v>
      </c>
      <c r="W966" t="str">
        <f t="shared" si="400"/>
        <v>美國國會圖書分類法</v>
      </c>
      <c r="Y966" t="str">
        <f>("PE1115")</f>
        <v>PE1115</v>
      </c>
      <c r="Z966" t="str">
        <f>("2018/08/11 13:35:09")</f>
        <v>2018/08/11 13:35:09</v>
      </c>
      <c r="AA966" t="str">
        <f t="shared" si="376"/>
        <v>catc</v>
      </c>
      <c r="AC966" t="str">
        <f>("B251-3")</f>
        <v>B251-3</v>
      </c>
      <c r="AE966" t="str">
        <f t="shared" si="394"/>
        <v>c.1</v>
      </c>
      <c r="AF966" t="str">
        <f t="shared" si="403"/>
        <v>1.可借圖書</v>
      </c>
      <c r="AG966" t="str">
        <f t="shared" si="404"/>
        <v>在架</v>
      </c>
      <c r="AI966" t="s">
        <v>65</v>
      </c>
      <c r="AK966" t="str">
        <f t="shared" si="380"/>
        <v>一般(Normal)</v>
      </c>
      <c r="AO966" t="s">
        <v>65</v>
      </c>
      <c r="AS966" t="str">
        <f>("1995.")</f>
        <v>1995.</v>
      </c>
      <c r="AT966" t="str">
        <f t="shared" si="381"/>
        <v>catc</v>
      </c>
    </row>
    <row r="967" spans="1:46" x14ac:dyDescent="0.25">
      <c r="A967">
        <v>956</v>
      </c>
      <c r="B967" t="str">
        <f>("289788")</f>
        <v>289788</v>
      </c>
      <c r="C967" t="str">
        <f>("W00002992")</f>
        <v>W00002992</v>
      </c>
      <c r="D967" t="str">
        <f>("Automated Forms Processing : A Primer/ ")</f>
        <v xml:space="preserve">Automated Forms Processing : A Primer/ </v>
      </c>
      <c r="E967" t="str">
        <f>("Spencer, Harvey")</f>
        <v>Spencer, Harvey</v>
      </c>
      <c r="F967" t="str">
        <f>("Telecom Books, ")</f>
        <v xml:space="preserve">Telecom Books, </v>
      </c>
      <c r="G967" t="str">
        <f>("1st. ed.")</f>
        <v>1st. ed.</v>
      </c>
      <c r="H967" t="str">
        <f t="shared" si="388"/>
        <v>圖書 book</v>
      </c>
      <c r="I967" t="str">
        <f>("HF5737 S745 1996")</f>
        <v>HF5737 S745 1996</v>
      </c>
      <c r="J967" t="str">
        <f>("1578200490")</f>
        <v>1578200490</v>
      </c>
      <c r="K967" t="str">
        <f>("704")</f>
        <v>704</v>
      </c>
      <c r="L967" t="str">
        <f t="shared" si="384"/>
        <v>2001/10/10 00:00:00</v>
      </c>
      <c r="M967" t="str">
        <f>("2018/08/11 13:35:09")</f>
        <v>2018/08/11 13:35:09</v>
      </c>
      <c r="N967" t="str">
        <f>("1996")</f>
        <v>1996</v>
      </c>
      <c r="O967" t="str">
        <f t="shared" si="402"/>
        <v>4F西文書庫 4F Western Language Books</v>
      </c>
      <c r="P967" t="s">
        <v>64</v>
      </c>
      <c r="W967" t="str">
        <f t="shared" si="400"/>
        <v>美國國會圖書分類法</v>
      </c>
      <c r="Y967" t="str">
        <f>("HF5737")</f>
        <v>HF5737</v>
      </c>
      <c r="Z967" t="str">
        <f>("2018/08/11 13:35:09")</f>
        <v>2018/08/11 13:35:09</v>
      </c>
      <c r="AA967" t="str">
        <f t="shared" si="376"/>
        <v>catc</v>
      </c>
      <c r="AC967" t="str">
        <f>("S745")</f>
        <v>S745</v>
      </c>
      <c r="AE967" t="str">
        <f t="shared" si="394"/>
        <v>c.1</v>
      </c>
      <c r="AF967" t="str">
        <f t="shared" si="403"/>
        <v>1.可借圖書</v>
      </c>
      <c r="AG967" t="str">
        <f t="shared" si="404"/>
        <v>在架</v>
      </c>
      <c r="AI967" t="s">
        <v>65</v>
      </c>
      <c r="AK967" t="str">
        <f t="shared" si="380"/>
        <v>一般(Normal)</v>
      </c>
      <c r="AO967" t="s">
        <v>65</v>
      </c>
      <c r="AS967" t="str">
        <f>("1996.")</f>
        <v>1996.</v>
      </c>
      <c r="AT967" t="str">
        <f t="shared" si="381"/>
        <v>catc</v>
      </c>
    </row>
    <row r="968" spans="1:46" x14ac:dyDescent="0.25">
      <c r="A968">
        <v>957</v>
      </c>
      <c r="B968" t="str">
        <f>("287486")</f>
        <v>287486</v>
      </c>
      <c r="C968" t="str">
        <f>("W00002993")</f>
        <v>W00002993</v>
      </c>
      <c r="D968" t="str">
        <f>("IT certification success / ")</f>
        <v xml:space="preserve">IT certification success / </v>
      </c>
      <c r="E968" t="str">
        <f>("Tittel, Ed. ")</f>
        <v xml:space="preserve">Tittel, Ed. </v>
      </c>
      <c r="F968" t="str">
        <f>(" Coriolis Group Books, ")</f>
        <v xml:space="preserve"> Coriolis Group Books, </v>
      </c>
      <c r="G968" t="str">
        <f>("3rd ed. ")</f>
        <v xml:space="preserve">3rd ed. </v>
      </c>
      <c r="H968" t="str">
        <f t="shared" si="388"/>
        <v>圖書 book</v>
      </c>
      <c r="I968" t="str">
        <f>("QA76.3 T622-2 2000")</f>
        <v>QA76.3 T622-2 2000</v>
      </c>
      <c r="J968" t="str">
        <f>("1576107922")</f>
        <v>1576107922</v>
      </c>
      <c r="K968" t="str">
        <f>("560")</f>
        <v>560</v>
      </c>
      <c r="L968" t="str">
        <f t="shared" si="384"/>
        <v>2001/10/10 00:00:00</v>
      </c>
      <c r="M968" t="str">
        <f>("2018/08/11 13:31:21")</f>
        <v>2018/08/11 13:31:21</v>
      </c>
      <c r="N968" t="str">
        <f>("2000")</f>
        <v>2000</v>
      </c>
      <c r="O968" t="str">
        <f t="shared" si="402"/>
        <v>4F西文書庫 4F Western Language Books</v>
      </c>
      <c r="P968" t="s">
        <v>64</v>
      </c>
      <c r="S968" t="str">
        <f>("xx, 220 p. ; ")</f>
        <v xml:space="preserve">xx, 220 p. ; </v>
      </c>
      <c r="U968" t="str">
        <f>("23 cm. ")</f>
        <v xml:space="preserve">23 cm. </v>
      </c>
      <c r="W968" t="str">
        <f t="shared" si="400"/>
        <v>美國國會圖書分類法</v>
      </c>
      <c r="Y968" t="str">
        <f>("QA76.3")</f>
        <v>QA76.3</v>
      </c>
      <c r="Z968" t="str">
        <f>("2018/08/11 13:31:20")</f>
        <v>2018/08/11 13:31:20</v>
      </c>
      <c r="AA968" t="str">
        <f t="shared" si="376"/>
        <v>catc</v>
      </c>
      <c r="AC968" t="str">
        <f>("T622-2")</f>
        <v>T622-2</v>
      </c>
      <c r="AE968" t="str">
        <f t="shared" si="394"/>
        <v>c.1</v>
      </c>
      <c r="AF968" t="str">
        <f t="shared" si="403"/>
        <v>1.可借圖書</v>
      </c>
      <c r="AG968" t="str">
        <f t="shared" si="404"/>
        <v>在架</v>
      </c>
      <c r="AI968" t="s">
        <v>65</v>
      </c>
      <c r="AK968" t="str">
        <f t="shared" si="380"/>
        <v>一般(Normal)</v>
      </c>
      <c r="AO968" t="s">
        <v>65</v>
      </c>
      <c r="AS968" t="str">
        <f>("2000. ")</f>
        <v xml:space="preserve">2000. </v>
      </c>
      <c r="AT968" t="str">
        <f t="shared" si="381"/>
        <v>catc</v>
      </c>
    </row>
    <row r="969" spans="1:46" x14ac:dyDescent="0.25">
      <c r="A969">
        <v>958</v>
      </c>
      <c r="B969" t="str">
        <f>("289789")</f>
        <v>289789</v>
      </c>
      <c r="C969" t="str">
        <f>("W00002994")</f>
        <v>W00002994</v>
      </c>
      <c r="D969" t="str">
        <f>("CorelDRAW for Linux / ")</f>
        <v xml:space="preserve">CorelDRAW for Linux / </v>
      </c>
      <c r="E969" t="str">
        <f>("Hunt, Shane. ")</f>
        <v xml:space="preserve">Hunt, Shane. </v>
      </c>
      <c r="F969" t="str">
        <f>(" Coriolis Group Books, ")</f>
        <v xml:space="preserve"> Coriolis Group Books, </v>
      </c>
      <c r="H969" t="str">
        <f t="shared" si="388"/>
        <v>圖書 book</v>
      </c>
      <c r="I969" t="str">
        <f>("T385 H939 2001")</f>
        <v>T385 H939 2001</v>
      </c>
      <c r="J969" t="str">
        <f>("1576106861")</f>
        <v>1576106861</v>
      </c>
      <c r="K969" t="str">
        <f>("1400")</f>
        <v>1400</v>
      </c>
      <c r="L969" t="str">
        <f t="shared" si="384"/>
        <v>2001/10/10 00:00:00</v>
      </c>
      <c r="M969" t="str">
        <f>("2018/08/11 13:35:09")</f>
        <v>2018/08/11 13:35:09</v>
      </c>
      <c r="N969" t="str">
        <f>("2001")</f>
        <v>2001</v>
      </c>
      <c r="O969" t="str">
        <f t="shared" si="402"/>
        <v>4F西文書庫 4F Western Language Books</v>
      </c>
      <c r="P969" t="s">
        <v>64</v>
      </c>
      <c r="W969" t="str">
        <f t="shared" si="400"/>
        <v>美國國會圖書分類法</v>
      </c>
      <c r="Y969" t="str">
        <f>("T385")</f>
        <v>T385</v>
      </c>
      <c r="Z969" t="str">
        <f>("2018/08/11 13:35:09")</f>
        <v>2018/08/11 13:35:09</v>
      </c>
      <c r="AA969" t="str">
        <f t="shared" si="376"/>
        <v>catc</v>
      </c>
      <c r="AC969" t="str">
        <f>("H939")</f>
        <v>H939</v>
      </c>
      <c r="AE969" t="str">
        <f t="shared" si="394"/>
        <v>c.1</v>
      </c>
      <c r="AF969" t="str">
        <f t="shared" si="403"/>
        <v>1.可借圖書</v>
      </c>
      <c r="AG969" t="str">
        <f t="shared" si="404"/>
        <v>在架</v>
      </c>
      <c r="AI969" t="s">
        <v>65</v>
      </c>
      <c r="AK969" t="str">
        <f t="shared" si="380"/>
        <v>一般(Normal)</v>
      </c>
      <c r="AO969" t="s">
        <v>65</v>
      </c>
      <c r="AS969" t="str">
        <f>(" 2001. ")</f>
        <v xml:space="preserve"> 2001. </v>
      </c>
      <c r="AT969" t="str">
        <f t="shared" si="381"/>
        <v>catc</v>
      </c>
    </row>
    <row r="970" spans="1:46" x14ac:dyDescent="0.25">
      <c r="A970">
        <v>959</v>
      </c>
      <c r="B970" t="str">
        <f>("289790")</f>
        <v>289790</v>
      </c>
      <c r="C970" t="str">
        <f>("W00002995")</f>
        <v>W00002995</v>
      </c>
      <c r="D970" t="str">
        <f>("Data mining :  concepts and techniques / ")</f>
        <v xml:space="preserve">Data mining :  concepts and techniques / </v>
      </c>
      <c r="E970" t="str">
        <f>("Han, Jiawei. ")</f>
        <v xml:space="preserve">Han, Jiawei. </v>
      </c>
      <c r="F970" t="str">
        <f>(" Morgan Kaufmann Publishers, ")</f>
        <v xml:space="preserve"> Morgan Kaufmann Publishers, </v>
      </c>
      <c r="H970" t="str">
        <f t="shared" si="388"/>
        <v>圖書 book</v>
      </c>
      <c r="I970" t="str">
        <f>("QA76.9.D343 H233 2001")</f>
        <v>QA76.9.D343 H233 2001</v>
      </c>
      <c r="J970" t="str">
        <f>("1558604898")</f>
        <v>1558604898</v>
      </c>
      <c r="K970" t="str">
        <f>("1408")</f>
        <v>1408</v>
      </c>
      <c r="L970" t="str">
        <f t="shared" si="384"/>
        <v>2001/10/10 00:00:00</v>
      </c>
      <c r="M970" t="str">
        <f>("2018/08/11 13:35:09")</f>
        <v>2018/08/11 13:35:09</v>
      </c>
      <c r="N970" t="str">
        <f>("2001")</f>
        <v>2001</v>
      </c>
      <c r="O970" t="str">
        <f t="shared" si="402"/>
        <v>4F西文書庫 4F Western Language Books</v>
      </c>
      <c r="P970" t="s">
        <v>64</v>
      </c>
      <c r="W970" t="str">
        <f t="shared" si="400"/>
        <v>美國國會圖書分類法</v>
      </c>
      <c r="Y970" t="str">
        <f>("QA76.9.D343")</f>
        <v>QA76.9.D343</v>
      </c>
      <c r="Z970" t="str">
        <f>("2018/08/11 13:35:09")</f>
        <v>2018/08/11 13:35:09</v>
      </c>
      <c r="AA970" t="str">
        <f t="shared" si="376"/>
        <v>catc</v>
      </c>
      <c r="AC970" t="str">
        <f>("H233")</f>
        <v>H233</v>
      </c>
      <c r="AE970" t="str">
        <f t="shared" si="394"/>
        <v>c.1</v>
      </c>
      <c r="AF970" t="str">
        <f t="shared" si="403"/>
        <v>1.可借圖書</v>
      </c>
      <c r="AG970" t="str">
        <f t="shared" si="404"/>
        <v>在架</v>
      </c>
      <c r="AI970" t="s">
        <v>65</v>
      </c>
      <c r="AK970" t="str">
        <f t="shared" si="380"/>
        <v>一般(Normal)</v>
      </c>
      <c r="AO970" t="s">
        <v>65</v>
      </c>
      <c r="AS970" t="str">
        <f>(" 2001. ")</f>
        <v xml:space="preserve"> 2001. </v>
      </c>
      <c r="AT970" t="str">
        <f t="shared" si="381"/>
        <v>catc</v>
      </c>
    </row>
    <row r="971" spans="1:46" x14ac:dyDescent="0.25">
      <c r="A971">
        <v>960</v>
      </c>
      <c r="B971" t="str">
        <f>("289804")</f>
        <v>289804</v>
      </c>
      <c r="C971" t="str">
        <f>("W00002996")</f>
        <v>W00002996</v>
      </c>
      <c r="D971" t="str">
        <f>("Big book of World Wide Web RFCs / ")</f>
        <v xml:space="preserve">Big book of World Wide Web RFCs / </v>
      </c>
      <c r="E971" t="str">
        <f>("Loshin, Peter. ")</f>
        <v xml:space="preserve">Loshin, Peter. </v>
      </c>
      <c r="F971" t="str">
        <f>(" Morgan Kaufmann, ")</f>
        <v xml:space="preserve"> Morgan Kaufmann, </v>
      </c>
      <c r="H971" t="str">
        <f>("參考書 Reference")</f>
        <v>參考書 Reference</v>
      </c>
      <c r="I971" t="str">
        <f>("R TK5105 L879 2000")</f>
        <v>R TK5105 L879 2000</v>
      </c>
      <c r="J971" t="str">
        <f>("0124558410")</f>
        <v>0124558410</v>
      </c>
      <c r="K971" t="str">
        <f>("880")</f>
        <v>880</v>
      </c>
      <c r="L971" t="str">
        <f t="shared" si="384"/>
        <v>2001/10/10 00:00:00</v>
      </c>
      <c r="M971" t="str">
        <f>("2018/08/11 13:35:09")</f>
        <v>2018/08/11 13:35:09</v>
      </c>
      <c r="N971" t="str">
        <f>("2000")</f>
        <v>2000</v>
      </c>
      <c r="O971" t="str">
        <f>("2F西文參考書庫 2F Western Reference Resources")</f>
        <v>2F西文參考書庫 2F Western Reference Resources</v>
      </c>
      <c r="P971" t="s">
        <v>64</v>
      </c>
      <c r="W971" t="str">
        <f t="shared" si="400"/>
        <v>美國國會圖書分類法</v>
      </c>
      <c r="Y971" t="str">
        <f>("TK5105")</f>
        <v>TK5105</v>
      </c>
      <c r="Z971" t="str">
        <f>("2018/08/11 13:35:09")</f>
        <v>2018/08/11 13:35:09</v>
      </c>
      <c r="AA971" t="str">
        <f t="shared" si="376"/>
        <v>catc</v>
      </c>
      <c r="AC971" t="str">
        <f>("L879")</f>
        <v>L879</v>
      </c>
      <c r="AE971" t="str">
        <f t="shared" si="394"/>
        <v>c.1</v>
      </c>
      <c r="AF971" t="str">
        <f>("參考工具書")</f>
        <v>參考工具書</v>
      </c>
      <c r="AG971" t="str">
        <f>("報銷中")</f>
        <v>報銷中</v>
      </c>
      <c r="AI971" t="s">
        <v>66</v>
      </c>
      <c r="AK971" t="str">
        <f t="shared" si="380"/>
        <v>一般(Normal)</v>
      </c>
      <c r="AO971" t="s">
        <v>65</v>
      </c>
      <c r="AS971" t="str">
        <f>(" c2000. ")</f>
        <v xml:space="preserve"> c2000. </v>
      </c>
      <c r="AT971" t="str">
        <f t="shared" si="381"/>
        <v>catc</v>
      </c>
    </row>
    <row r="972" spans="1:46" x14ac:dyDescent="0.25">
      <c r="A972">
        <v>961</v>
      </c>
      <c r="B972" t="str">
        <f>("289805")</f>
        <v>289805</v>
      </c>
      <c r="C972" t="str">
        <f>("W00002997")</f>
        <v>W00002997</v>
      </c>
      <c r="D972" t="str">
        <f>("SSH, the secure shell :  the defenitive guide / ")</f>
        <v xml:space="preserve">SSH, the secure shell :  the defenitive guide / </v>
      </c>
      <c r="E972" t="str">
        <f>("Barrett, Daniel J. ")</f>
        <v xml:space="preserve">Barrett, Daniel J. </v>
      </c>
      <c r="F972" t="str">
        <f>(" O'Reilly, ")</f>
        <v xml:space="preserve"> O'Reilly, </v>
      </c>
      <c r="H972" t="str">
        <f>("圖書 book")</f>
        <v>圖書 book</v>
      </c>
      <c r="I972" t="str">
        <f>("QA76.76.O63 B274 2001")</f>
        <v>QA76.76.O63 B274 2001</v>
      </c>
      <c r="J972" t="str">
        <f>("0596000111")</f>
        <v>0596000111</v>
      </c>
      <c r="K972" t="str">
        <f>("1120")</f>
        <v>1120</v>
      </c>
      <c r="L972" t="str">
        <f t="shared" si="384"/>
        <v>2001/10/10 00:00:00</v>
      </c>
      <c r="M972" t="str">
        <f>("2018/08/11 13:35:09")</f>
        <v>2018/08/11 13:35:09</v>
      </c>
      <c r="N972" t="str">
        <f>("2001")</f>
        <v>2001</v>
      </c>
      <c r="O972" t="str">
        <f>("4F西文書庫 4F Western Language Books")</f>
        <v>4F西文書庫 4F Western Language Books</v>
      </c>
      <c r="P972" t="s">
        <v>64</v>
      </c>
      <c r="W972" t="str">
        <f t="shared" si="400"/>
        <v>美國國會圖書分類法</v>
      </c>
      <c r="Y972" t="str">
        <f>("QA76.76.O63")</f>
        <v>QA76.76.O63</v>
      </c>
      <c r="Z972" t="str">
        <f>("2018/08/11 13:35:09")</f>
        <v>2018/08/11 13:35:09</v>
      </c>
      <c r="AA972" t="str">
        <f t="shared" si="376"/>
        <v>catc</v>
      </c>
      <c r="AC972" t="str">
        <f>("B274")</f>
        <v>B274</v>
      </c>
      <c r="AE972" t="str">
        <f t="shared" si="394"/>
        <v>c.1</v>
      </c>
      <c r="AF972" t="str">
        <f>("1.可借圖書")</f>
        <v>1.可借圖書</v>
      </c>
      <c r="AG972" t="str">
        <f>("在架")</f>
        <v>在架</v>
      </c>
      <c r="AI972" t="s">
        <v>65</v>
      </c>
      <c r="AK972" t="str">
        <f t="shared" si="380"/>
        <v>一般(Normal)</v>
      </c>
      <c r="AO972" t="s">
        <v>65</v>
      </c>
      <c r="AS972" t="str">
        <f>(" 2001. ")</f>
        <v xml:space="preserve"> 2001. </v>
      </c>
      <c r="AT972" t="str">
        <f t="shared" si="381"/>
        <v>catc</v>
      </c>
    </row>
    <row r="973" spans="1:46" x14ac:dyDescent="0.25">
      <c r="A973">
        <v>962</v>
      </c>
      <c r="B973" t="str">
        <f>("289806")</f>
        <v>289806</v>
      </c>
      <c r="C973" t="str">
        <f>("W00002998")</f>
        <v>W00002998</v>
      </c>
      <c r="D973" t="str">
        <f>("Java programming on Linux / ")</f>
        <v xml:space="preserve">Java programming on Linux / </v>
      </c>
      <c r="E973" t="str">
        <f>("Meyers, Nathan. ")</f>
        <v xml:space="preserve">Meyers, Nathan. </v>
      </c>
      <c r="F973" t="str">
        <f>(" Waite Group Press , ")</f>
        <v xml:space="preserve"> Waite Group Press , </v>
      </c>
      <c r="H973" t="str">
        <f>("圖書 book")</f>
        <v>圖書 book</v>
      </c>
      <c r="I973" t="str">
        <f>("QA76.73.J38 M613 2000")</f>
        <v>QA76.73.J38 M613 2000</v>
      </c>
      <c r="J973" t="str">
        <f>("1571691669")</f>
        <v>1571691669</v>
      </c>
      <c r="K973" t="str">
        <f>("1400")</f>
        <v>1400</v>
      </c>
      <c r="L973" t="str">
        <f t="shared" si="384"/>
        <v>2001/10/10 00:00:00</v>
      </c>
      <c r="M973" t="str">
        <f>("2018/08/11 13:35:09")</f>
        <v>2018/08/11 13:35:09</v>
      </c>
      <c r="N973" t="str">
        <f>("2000")</f>
        <v>2000</v>
      </c>
      <c r="O973" t="str">
        <f>("4F西文書庫 4F Western Language Books")</f>
        <v>4F西文書庫 4F Western Language Books</v>
      </c>
      <c r="P973" t="s">
        <v>64</v>
      </c>
      <c r="W973" t="str">
        <f t="shared" si="400"/>
        <v>美國國會圖書分類法</v>
      </c>
      <c r="Y973" t="str">
        <f>("QA76.73.J38")</f>
        <v>QA76.73.J38</v>
      </c>
      <c r="Z973" t="str">
        <f>("2018/08/11 13:35:09")</f>
        <v>2018/08/11 13:35:09</v>
      </c>
      <c r="AA973" t="str">
        <f t="shared" si="376"/>
        <v>catc</v>
      </c>
      <c r="AC973" t="str">
        <f>("M613")</f>
        <v>M613</v>
      </c>
      <c r="AE973" t="str">
        <f t="shared" si="394"/>
        <v>c.1</v>
      </c>
      <c r="AF973" t="str">
        <f>("1.可借圖書")</f>
        <v>1.可借圖書</v>
      </c>
      <c r="AG973" t="str">
        <f>("在架")</f>
        <v>在架</v>
      </c>
      <c r="AI973" t="s">
        <v>65</v>
      </c>
      <c r="AK973" t="str">
        <f t="shared" si="380"/>
        <v>一般(Normal)</v>
      </c>
      <c r="AO973" t="s">
        <v>65</v>
      </c>
      <c r="AS973" t="str">
        <f>(" c2000. ")</f>
        <v xml:space="preserve"> c2000. </v>
      </c>
      <c r="AT973" t="str">
        <f t="shared" si="381"/>
        <v>catc</v>
      </c>
    </row>
    <row r="974" spans="1:46" x14ac:dyDescent="0.25">
      <c r="A974">
        <v>963</v>
      </c>
      <c r="B974" t="str">
        <f>("290517")</f>
        <v>290517</v>
      </c>
      <c r="C974" t="str">
        <f>("W00002999")</f>
        <v>W00002999</v>
      </c>
      <c r="D974" t="str">
        <f>("Internet core protocols :  the definitive guide / ")</f>
        <v xml:space="preserve">Internet core protocols :  the definitive guide / </v>
      </c>
      <c r="E974" t="str">
        <f>("Hall, Eric A. ")</f>
        <v xml:space="preserve">Hall, Eric A. </v>
      </c>
      <c r="F974" t="str">
        <f>(" O'Reilly, ")</f>
        <v xml:space="preserve"> O'Reilly, </v>
      </c>
      <c r="H974" t="str">
        <f>("圖書 book")</f>
        <v>圖書 book</v>
      </c>
      <c r="I974" t="str">
        <f>("TK5105.875.I57 H714 2000")</f>
        <v>TK5105.875.I57 H714 2000</v>
      </c>
      <c r="J974" t="str">
        <f>("1565925726")</f>
        <v>1565925726</v>
      </c>
      <c r="K974" t="str">
        <f>("1120")</f>
        <v>1120</v>
      </c>
      <c r="L974" t="str">
        <f>("2001/11/30 00:00:00")</f>
        <v>2001/11/30 00:00:00</v>
      </c>
      <c r="M974" t="str">
        <f>("2018/08/11 13:36:33")</f>
        <v>2018/08/11 13:36:33</v>
      </c>
      <c r="N974" t="str">
        <f>("2000")</f>
        <v>2000</v>
      </c>
      <c r="O974" t="str">
        <f>("4F西文書庫 4F Western Language Books")</f>
        <v>4F西文書庫 4F Western Language Books</v>
      </c>
      <c r="P974" t="s">
        <v>64</v>
      </c>
      <c r="W974" t="str">
        <f t="shared" si="400"/>
        <v>美國國會圖書分類法</v>
      </c>
      <c r="Y974" t="str">
        <f>("TK5105.875.I57")</f>
        <v>TK5105.875.I57</v>
      </c>
      <c r="Z974" t="str">
        <f>("2018/08/11 13:36:33")</f>
        <v>2018/08/11 13:36:33</v>
      </c>
      <c r="AA974" t="str">
        <f t="shared" si="376"/>
        <v>catc</v>
      </c>
      <c r="AC974" t="str">
        <f>("H714")</f>
        <v>H714</v>
      </c>
      <c r="AE974" t="str">
        <f t="shared" si="394"/>
        <v>c.1</v>
      </c>
      <c r="AF974" t="str">
        <f>("1.可借圖書")</f>
        <v>1.可借圖書</v>
      </c>
      <c r="AG974" t="str">
        <f>("在架")</f>
        <v>在架</v>
      </c>
      <c r="AI974" t="s">
        <v>65</v>
      </c>
      <c r="AK974" t="str">
        <f t="shared" si="380"/>
        <v>一般(Normal)</v>
      </c>
      <c r="AO974" t="s">
        <v>65</v>
      </c>
      <c r="AS974" t="str">
        <f>(" 2000. ")</f>
        <v xml:space="preserve"> 2000. </v>
      </c>
      <c r="AT974" t="str">
        <f t="shared" si="381"/>
        <v>catc</v>
      </c>
    </row>
    <row r="975" spans="1:46" x14ac:dyDescent="0.25">
      <c r="A975">
        <v>964</v>
      </c>
      <c r="B975" t="str">
        <f>("289807")</f>
        <v>289807</v>
      </c>
      <c r="C975" t="str">
        <f>("W00003000")</f>
        <v>W00003000</v>
      </c>
      <c r="D975" t="str">
        <f>("Applying nursing process : a step-by-step approach / ")</f>
        <v xml:space="preserve">Applying nursing process : a step-by-step approach / </v>
      </c>
      <c r="E975" t="str">
        <f>("Alfaro-LeFevre, Rosalinda. ")</f>
        <v xml:space="preserve">Alfaro-LeFevre, Rosalinda. </v>
      </c>
      <c r="F975" t="str">
        <f>("Lippincott-Raven, ")</f>
        <v xml:space="preserve">Lippincott-Raven, </v>
      </c>
      <c r="G975" t="str">
        <f>("4th ed. ")</f>
        <v xml:space="preserve">4th ed. </v>
      </c>
      <c r="H975" t="str">
        <f>("圖書 book")</f>
        <v>圖書 book</v>
      </c>
      <c r="I975" t="str">
        <f>("RT51 A385 1998")</f>
        <v>RT51 A385 1998</v>
      </c>
      <c r="J975" t="str">
        <f>("0397554532")</f>
        <v>0397554532</v>
      </c>
      <c r="K975" t="str">
        <f>("704")</f>
        <v>704</v>
      </c>
      <c r="L975" t="str">
        <f>("2001/10/10 00:00:00")</f>
        <v>2001/10/10 00:00:00</v>
      </c>
      <c r="M975" t="str">
        <f>("2018/08/11 13:35:09")</f>
        <v>2018/08/11 13:35:09</v>
      </c>
      <c r="N975" t="str">
        <f>("1998")</f>
        <v>1998</v>
      </c>
      <c r="O975" t="str">
        <f>("4F西文書庫 4F Western Language Books")</f>
        <v>4F西文書庫 4F Western Language Books</v>
      </c>
      <c r="P975" t="s">
        <v>64</v>
      </c>
      <c r="W975" t="str">
        <f t="shared" si="400"/>
        <v>美國國會圖書分類法</v>
      </c>
      <c r="Y975" t="str">
        <f>("RT51")</f>
        <v>RT51</v>
      </c>
      <c r="Z975" t="str">
        <f>("2018/08/11 13:35:09")</f>
        <v>2018/08/11 13:35:09</v>
      </c>
      <c r="AA975" t="str">
        <f t="shared" si="376"/>
        <v>catc</v>
      </c>
      <c r="AC975" t="str">
        <f>("A385")</f>
        <v>A385</v>
      </c>
      <c r="AE975" t="str">
        <f t="shared" si="394"/>
        <v>c.1</v>
      </c>
      <c r="AF975" t="str">
        <f>("1.可借圖書")</f>
        <v>1.可借圖書</v>
      </c>
      <c r="AG975" t="str">
        <f>("在架")</f>
        <v>在架</v>
      </c>
      <c r="AI975" t="s">
        <v>65</v>
      </c>
      <c r="AK975" t="str">
        <f t="shared" si="380"/>
        <v>一般(Normal)</v>
      </c>
      <c r="AO975" t="s">
        <v>65</v>
      </c>
      <c r="AS975" t="str">
        <f>("c1998. ")</f>
        <v xml:space="preserve">c1998. </v>
      </c>
      <c r="AT975" t="str">
        <f t="shared" si="381"/>
        <v>catc</v>
      </c>
    </row>
    <row r="976" spans="1:46" x14ac:dyDescent="0.25">
      <c r="A976" t="s">
        <v>68</v>
      </c>
      <c r="B976" t="str">
        <f>("287750")</f>
        <v>287750</v>
      </c>
      <c r="C976" t="str">
        <f>("W00003046")</f>
        <v>W00003046</v>
      </c>
      <c r="D976" t="str">
        <f>("Basics of supply chain management /")</f>
        <v>Basics of supply chain management /</v>
      </c>
      <c r="E976" t="str">
        <f>("Fredendall, Lawrence D.")</f>
        <v>Fredendall, Lawrence D.</v>
      </c>
      <c r="F976" t="str">
        <f>("St. Lucie Press ;;APICS,")</f>
        <v>St. Lucie Press ;;APICS,</v>
      </c>
      <c r="H976" t="str">
        <f t="shared" ref="H976:H1026" si="406">("圖書 book")</f>
        <v>圖書 book</v>
      </c>
      <c r="I976" t="str">
        <f>("HD38.5 F852 2001")</f>
        <v>HD38.5 F852 2001</v>
      </c>
      <c r="J976" t="str">
        <f>("1574441205")</f>
        <v>1574441205</v>
      </c>
      <c r="K976" t="str">
        <f t="shared" ref="K976:K1039" si="407">("0")</f>
        <v>0</v>
      </c>
      <c r="L976" t="str">
        <f t="shared" ref="L976:L989" si="408">("2001/10/10 00:00:00")</f>
        <v>2001/10/10 00:00:00</v>
      </c>
      <c r="M976" t="str">
        <f>("2018/08/11 13:31:51")</f>
        <v>2018/08/11 13:31:51</v>
      </c>
      <c r="N976" t="str">
        <f>("2001")</f>
        <v>2001</v>
      </c>
      <c r="O976" t="str">
        <f t="shared" ref="O976:O985" si="409">("4F西文書庫 4F Western Language Books")</f>
        <v>4F西文書庫 4F Western Language Books</v>
      </c>
      <c r="P976" t="s">
        <v>64</v>
      </c>
      <c r="W976" t="str">
        <f t="shared" si="400"/>
        <v>美國國會圖書分類法</v>
      </c>
      <c r="Y976" t="str">
        <f>("HD38.5")</f>
        <v>HD38.5</v>
      </c>
      <c r="Z976" t="str">
        <f>("2018/08/11 13:31:51")</f>
        <v>2018/08/11 13:31:51</v>
      </c>
      <c r="AA976" t="str">
        <f t="shared" ref="AA976:AA1039" si="410">("catc")</f>
        <v>catc</v>
      </c>
      <c r="AC976" t="str">
        <f>("F852")</f>
        <v>F852</v>
      </c>
      <c r="AE976" t="str">
        <f t="shared" si="394"/>
        <v>c.1</v>
      </c>
      <c r="AF976" t="str">
        <f t="shared" ref="AF976:AF985" si="411">("1.可借圖書")</f>
        <v>1.可借圖書</v>
      </c>
      <c r="AG976" t="str">
        <f t="shared" ref="AG976:AG985" si="412">("在架")</f>
        <v>在架</v>
      </c>
      <c r="AI976" t="s">
        <v>65</v>
      </c>
      <c r="AK976" t="str">
        <f t="shared" ref="AK976:AK1039" si="413">("一般(Normal)")</f>
        <v>一般(Normal)</v>
      </c>
      <c r="AO976" t="s">
        <v>65</v>
      </c>
      <c r="AS976" t="str">
        <f>("c2001.")</f>
        <v>c2001.</v>
      </c>
      <c r="AT976" t="str">
        <f t="shared" ref="AT976:AT1039" si="414">("catc")</f>
        <v>catc</v>
      </c>
    </row>
    <row r="977" spans="2:46" x14ac:dyDescent="0.25">
      <c r="B977" t="str">
        <f>("287749")</f>
        <v>287749</v>
      </c>
      <c r="C977" t="str">
        <f>("W00003047")</f>
        <v>W00003047</v>
      </c>
      <c r="D977" t="str">
        <f>("Change management :a guide to effective implementation /")</f>
        <v>Change management :a guide to effective implementation /</v>
      </c>
      <c r="E977" t="str">
        <f>("Paton, Rob.")</f>
        <v>Paton, Rob.</v>
      </c>
      <c r="F977" t="str">
        <f>("Sage Publications,")</f>
        <v>Sage Publications,</v>
      </c>
      <c r="G977" t="str">
        <f>("2nd ed.")</f>
        <v>2nd ed.</v>
      </c>
      <c r="H977" t="str">
        <f t="shared" si="406"/>
        <v>圖書 book</v>
      </c>
      <c r="I977" t="str">
        <f>("HD58.8 P312 2000")</f>
        <v>HD58.8 P312 2000</v>
      </c>
      <c r="J977" t="str">
        <f>("0761964983;0761964991")</f>
        <v>0761964983;0761964991</v>
      </c>
      <c r="K977" t="str">
        <f t="shared" si="407"/>
        <v>0</v>
      </c>
      <c r="L977" t="str">
        <f t="shared" si="408"/>
        <v>2001/10/10 00:00:00</v>
      </c>
      <c r="M977" t="str">
        <f>("2018/08/11 13:31:50")</f>
        <v>2018/08/11 13:31:50</v>
      </c>
      <c r="N977" t="str">
        <f>("2000")</f>
        <v>2000</v>
      </c>
      <c r="O977" t="str">
        <f t="shared" si="409"/>
        <v>4F西文書庫 4F Western Language Books</v>
      </c>
      <c r="P977" t="s">
        <v>64</v>
      </c>
      <c r="W977" t="str">
        <f t="shared" si="400"/>
        <v>美國國會圖書分類法</v>
      </c>
      <c r="Y977" t="str">
        <f>("HD58.8")</f>
        <v>HD58.8</v>
      </c>
      <c r="Z977" t="str">
        <f>("2018/08/11 13:31:50")</f>
        <v>2018/08/11 13:31:50</v>
      </c>
      <c r="AA977" t="str">
        <f t="shared" si="410"/>
        <v>catc</v>
      </c>
      <c r="AC977" t="str">
        <f>("P312")</f>
        <v>P312</v>
      </c>
      <c r="AE977" t="str">
        <f t="shared" si="394"/>
        <v>c.1</v>
      </c>
      <c r="AF977" t="str">
        <f t="shared" si="411"/>
        <v>1.可借圖書</v>
      </c>
      <c r="AG977" t="str">
        <f t="shared" si="412"/>
        <v>在架</v>
      </c>
      <c r="AI977" t="s">
        <v>65</v>
      </c>
      <c r="AK977" t="str">
        <f t="shared" si="413"/>
        <v>一般(Normal)</v>
      </c>
      <c r="AO977" t="s">
        <v>65</v>
      </c>
      <c r="AS977" t="str">
        <f>("2000.")</f>
        <v>2000.</v>
      </c>
      <c r="AT977" t="str">
        <f t="shared" si="414"/>
        <v>catc</v>
      </c>
    </row>
    <row r="978" spans="2:46" x14ac:dyDescent="0.25">
      <c r="B978" t="str">
        <f>("287748")</f>
        <v>287748</v>
      </c>
      <c r="C978" t="str">
        <f>("W00003048")</f>
        <v>W00003048</v>
      </c>
      <c r="D978" t="str">
        <f>("The customer differential :the complete guide to implementing customer relationship management /")</f>
        <v>The customer differential :the complete guide to implementing customer relationship management /</v>
      </c>
      <c r="E978" t="str">
        <f>("Nykamp, Melinda.")</f>
        <v>Nykamp, Melinda.</v>
      </c>
      <c r="F978" t="str">
        <f>("AMACOM,")</f>
        <v>AMACOM,</v>
      </c>
      <c r="H978" t="str">
        <f t="shared" si="406"/>
        <v>圖書 book</v>
      </c>
      <c r="I978" t="str">
        <f>("HF5415.5 N995 2001")</f>
        <v>HF5415.5 N995 2001</v>
      </c>
      <c r="J978" t="str">
        <f>("081440622X")</f>
        <v>081440622X</v>
      </c>
      <c r="K978" t="str">
        <f t="shared" si="407"/>
        <v>0</v>
      </c>
      <c r="L978" t="str">
        <f t="shared" si="408"/>
        <v>2001/10/10 00:00:00</v>
      </c>
      <c r="M978" t="str">
        <f>("2018/08/11 13:31:50")</f>
        <v>2018/08/11 13:31:50</v>
      </c>
      <c r="N978" t="str">
        <f>("2001")</f>
        <v>2001</v>
      </c>
      <c r="O978" t="str">
        <f t="shared" si="409"/>
        <v>4F西文書庫 4F Western Language Books</v>
      </c>
      <c r="P978" t="s">
        <v>64</v>
      </c>
      <c r="W978" t="str">
        <f t="shared" si="400"/>
        <v>美國國會圖書分類法</v>
      </c>
      <c r="Y978" t="str">
        <f>("HF5415.5")</f>
        <v>HF5415.5</v>
      </c>
      <c r="Z978" t="str">
        <f>("2018/08/11 13:31:50")</f>
        <v>2018/08/11 13:31:50</v>
      </c>
      <c r="AA978" t="str">
        <f t="shared" si="410"/>
        <v>catc</v>
      </c>
      <c r="AC978" t="str">
        <f>("N995")</f>
        <v>N995</v>
      </c>
      <c r="AE978" t="str">
        <f t="shared" si="394"/>
        <v>c.1</v>
      </c>
      <c r="AF978" t="str">
        <f t="shared" si="411"/>
        <v>1.可借圖書</v>
      </c>
      <c r="AG978" t="str">
        <f t="shared" si="412"/>
        <v>在架</v>
      </c>
      <c r="AI978" t="s">
        <v>65</v>
      </c>
      <c r="AK978" t="str">
        <f t="shared" si="413"/>
        <v>一般(Normal)</v>
      </c>
      <c r="AO978" t="s">
        <v>65</v>
      </c>
      <c r="AS978" t="str">
        <f>("2001.")</f>
        <v>2001.</v>
      </c>
      <c r="AT978" t="str">
        <f t="shared" si="414"/>
        <v>catc</v>
      </c>
    </row>
    <row r="979" spans="2:46" x14ac:dyDescent="0.25">
      <c r="B979" t="str">
        <f>("287747")</f>
        <v>287747</v>
      </c>
      <c r="C979" t="str">
        <f>("W00003049")</f>
        <v>W00003049</v>
      </c>
      <c r="D979" t="str">
        <f>("J.K. Lasser pro estate and business succession planning :a legal guide to wealth transfer /")</f>
        <v>J.K. Lasser pro estate and business succession planning :a legal guide to wealth transfer /</v>
      </c>
      <c r="E979" t="str">
        <f>("Fishkind, Russell J.")</f>
        <v>Fishkind, Russell J.</v>
      </c>
      <c r="F979" t="str">
        <f>("John Wiley,")</f>
        <v>John Wiley,</v>
      </c>
      <c r="H979" t="str">
        <f t="shared" si="406"/>
        <v>圖書 book</v>
      </c>
      <c r="I979" t="str">
        <f>("KF750 F537 2001")</f>
        <v>KF750 F537 2001</v>
      </c>
      <c r="J979" t="str">
        <f>("047139680X")</f>
        <v>047139680X</v>
      </c>
      <c r="K979" t="str">
        <f t="shared" si="407"/>
        <v>0</v>
      </c>
      <c r="L979" t="str">
        <f t="shared" si="408"/>
        <v>2001/10/10 00:00:00</v>
      </c>
      <c r="M979" t="str">
        <f>("2018/08/11 13:31:50")</f>
        <v>2018/08/11 13:31:50</v>
      </c>
      <c r="N979" t="str">
        <f>("2001")</f>
        <v>2001</v>
      </c>
      <c r="O979" t="str">
        <f t="shared" si="409"/>
        <v>4F西文書庫 4F Western Language Books</v>
      </c>
      <c r="P979" t="s">
        <v>64</v>
      </c>
      <c r="W979" t="str">
        <f t="shared" si="400"/>
        <v>美國國會圖書分類法</v>
      </c>
      <c r="Y979" t="str">
        <f>("KF750")</f>
        <v>KF750</v>
      </c>
      <c r="Z979" t="str">
        <f>("2018/08/11 13:31:50")</f>
        <v>2018/08/11 13:31:50</v>
      </c>
      <c r="AA979" t="str">
        <f t="shared" si="410"/>
        <v>catc</v>
      </c>
      <c r="AC979" t="str">
        <f>("F537")</f>
        <v>F537</v>
      </c>
      <c r="AE979" t="str">
        <f t="shared" si="394"/>
        <v>c.1</v>
      </c>
      <c r="AF979" t="str">
        <f t="shared" si="411"/>
        <v>1.可借圖書</v>
      </c>
      <c r="AG979" t="str">
        <f t="shared" si="412"/>
        <v>在架</v>
      </c>
      <c r="AI979" t="s">
        <v>65</v>
      </c>
      <c r="AK979" t="str">
        <f t="shared" si="413"/>
        <v>一般(Normal)</v>
      </c>
      <c r="AO979" t="s">
        <v>65</v>
      </c>
      <c r="AS979" t="str">
        <f>("2001.")</f>
        <v>2001.</v>
      </c>
      <c r="AT979" t="str">
        <f t="shared" si="414"/>
        <v>catc</v>
      </c>
    </row>
    <row r="980" spans="2:46" x14ac:dyDescent="0.25">
      <c r="B980" t="str">
        <f>("287746")</f>
        <v>287746</v>
      </c>
      <c r="C980" t="str">
        <f>("W00003050")</f>
        <v>W00003050</v>
      </c>
      <c r="D980" t="str">
        <f>("Executive selection :strategies for success /")</f>
        <v>Executive selection :strategies for success /</v>
      </c>
      <c r="E980" t="str">
        <f>("Sessa, Valerie I.")</f>
        <v>Sessa, Valerie I.</v>
      </c>
      <c r="F980" t="str">
        <f>("Jossey-Bass Publishers,")</f>
        <v>Jossey-Bass Publishers,</v>
      </c>
      <c r="G980" t="str">
        <f>("1st ed.")</f>
        <v>1st ed.</v>
      </c>
      <c r="H980" t="str">
        <f t="shared" si="406"/>
        <v>圖書 book</v>
      </c>
      <c r="I980" t="str">
        <f>("HF5549.5.S38 S493 2000")</f>
        <v>HF5549.5.S38 S493 2000</v>
      </c>
      <c r="J980" t="str">
        <f>("0787950203")</f>
        <v>0787950203</v>
      </c>
      <c r="K980" t="str">
        <f t="shared" si="407"/>
        <v>0</v>
      </c>
      <c r="L980" t="str">
        <f t="shared" si="408"/>
        <v>2001/10/10 00:00:00</v>
      </c>
      <c r="M980" t="str">
        <f>("2018/08/11 13:31:50")</f>
        <v>2018/08/11 13:31:50</v>
      </c>
      <c r="N980" t="str">
        <f>("2000")</f>
        <v>2000</v>
      </c>
      <c r="O980" t="str">
        <f t="shared" si="409"/>
        <v>4F西文書庫 4F Western Language Books</v>
      </c>
      <c r="P980" t="s">
        <v>64</v>
      </c>
      <c r="W980" t="str">
        <f t="shared" si="400"/>
        <v>美國國會圖書分類法</v>
      </c>
      <c r="Y980" t="str">
        <f>("HF5549.5.S38")</f>
        <v>HF5549.5.S38</v>
      </c>
      <c r="Z980" t="str">
        <f>("2018/08/11 13:31:50")</f>
        <v>2018/08/11 13:31:50</v>
      </c>
      <c r="AA980" t="str">
        <f t="shared" si="410"/>
        <v>catc</v>
      </c>
      <c r="AC980" t="str">
        <f>("S493")</f>
        <v>S493</v>
      </c>
      <c r="AE980" t="str">
        <f t="shared" si="394"/>
        <v>c.1</v>
      </c>
      <c r="AF980" t="str">
        <f t="shared" si="411"/>
        <v>1.可借圖書</v>
      </c>
      <c r="AG980" t="str">
        <f t="shared" si="412"/>
        <v>在架</v>
      </c>
      <c r="AI980" t="s">
        <v>65</v>
      </c>
      <c r="AK980" t="str">
        <f t="shared" si="413"/>
        <v>一般(Normal)</v>
      </c>
      <c r="AO980" t="s">
        <v>65</v>
      </c>
      <c r="AS980" t="str">
        <f>("2000.")</f>
        <v>2000.</v>
      </c>
      <c r="AT980" t="str">
        <f t="shared" si="414"/>
        <v>catc</v>
      </c>
    </row>
    <row r="981" spans="2:46" x14ac:dyDescent="0.25">
      <c r="B981" t="str">
        <f>("287769")</f>
        <v>287769</v>
      </c>
      <c r="C981" t="str">
        <f>("W00003051")</f>
        <v>W00003051</v>
      </c>
      <c r="D981" t="str">
        <f>("Business accounting 1 /")</f>
        <v>Business accounting 1 /</v>
      </c>
      <c r="E981" t="str">
        <f>("Wood, Frank.")</f>
        <v>Wood, Frank.</v>
      </c>
      <c r="F981" t="str">
        <f>("Financial Times Professional Limited,")</f>
        <v>Financial Times Professional Limited,</v>
      </c>
      <c r="G981" t="str">
        <f>("8th ed., international student ed.")</f>
        <v>8th ed., international student ed.</v>
      </c>
      <c r="H981" t="str">
        <f t="shared" si="406"/>
        <v>圖書 book</v>
      </c>
      <c r="I981" t="str">
        <f>("HF5635 W875 1999")</f>
        <v>HF5635 W875 1999</v>
      </c>
      <c r="J981" t="str">
        <f>("0273638394")</f>
        <v>0273638394</v>
      </c>
      <c r="K981" t="str">
        <f t="shared" si="407"/>
        <v>0</v>
      </c>
      <c r="L981" t="str">
        <f t="shared" si="408"/>
        <v>2001/10/10 00:00:00</v>
      </c>
      <c r="M981" t="str">
        <f>("2018/08/11 13:31:51")</f>
        <v>2018/08/11 13:31:51</v>
      </c>
      <c r="N981" t="str">
        <f>("1999")</f>
        <v>1999</v>
      </c>
      <c r="O981" t="str">
        <f t="shared" si="409"/>
        <v>4F西文書庫 4F Western Language Books</v>
      </c>
      <c r="P981" t="s">
        <v>64</v>
      </c>
      <c r="W981" t="str">
        <f t="shared" si="400"/>
        <v>美國國會圖書分類法</v>
      </c>
      <c r="Y981" t="str">
        <f>("HF5635")</f>
        <v>HF5635</v>
      </c>
      <c r="Z981" t="str">
        <f>("2018/08/11 13:31:51")</f>
        <v>2018/08/11 13:31:51</v>
      </c>
      <c r="AA981" t="str">
        <f t="shared" si="410"/>
        <v>catc</v>
      </c>
      <c r="AC981" t="str">
        <f>("W875")</f>
        <v>W875</v>
      </c>
      <c r="AE981" t="str">
        <f t="shared" si="394"/>
        <v>c.1</v>
      </c>
      <c r="AF981" t="str">
        <f t="shared" si="411"/>
        <v>1.可借圖書</v>
      </c>
      <c r="AG981" t="str">
        <f t="shared" si="412"/>
        <v>在架</v>
      </c>
      <c r="AI981" t="s">
        <v>65</v>
      </c>
      <c r="AK981" t="str">
        <f t="shared" si="413"/>
        <v>一般(Normal)</v>
      </c>
      <c r="AO981" t="s">
        <v>65</v>
      </c>
      <c r="AS981" t="str">
        <f>("1999.")</f>
        <v>1999.</v>
      </c>
      <c r="AT981" t="str">
        <f t="shared" si="414"/>
        <v>catc</v>
      </c>
    </row>
    <row r="982" spans="2:46" x14ac:dyDescent="0.25">
      <c r="B982" t="str">
        <f>("287768")</f>
        <v>287768</v>
      </c>
      <c r="C982" t="str">
        <f>("W00003052")</f>
        <v>W00003052</v>
      </c>
      <c r="D982" t="str">
        <f>("Global finance and financial markets :a modern introduction /")</f>
        <v>Global finance and financial markets :a modern introduction /</v>
      </c>
      <c r="E982" t="str">
        <f>("Banks, Ferdinand E.")</f>
        <v>Banks, Ferdinand E.</v>
      </c>
      <c r="F982" t="str">
        <f>("World Scientific,")</f>
        <v>World Scientific,</v>
      </c>
      <c r="H982" t="str">
        <f t="shared" si="406"/>
        <v>圖書 book</v>
      </c>
      <c r="I982" t="str">
        <f>("HG4521 B218 2001")</f>
        <v>HG4521 B218 2001</v>
      </c>
      <c r="J982" t="str">
        <f>("981024326X;9810243278")</f>
        <v>981024326X;9810243278</v>
      </c>
      <c r="K982" t="str">
        <f t="shared" si="407"/>
        <v>0</v>
      </c>
      <c r="L982" t="str">
        <f t="shared" si="408"/>
        <v>2001/10/10 00:00:00</v>
      </c>
      <c r="M982" t="str">
        <f>("2018/08/11 13:31:51")</f>
        <v>2018/08/11 13:31:51</v>
      </c>
      <c r="N982" t="str">
        <f>("2001")</f>
        <v>2001</v>
      </c>
      <c r="O982" t="str">
        <f t="shared" si="409"/>
        <v>4F西文書庫 4F Western Language Books</v>
      </c>
      <c r="P982" t="s">
        <v>64</v>
      </c>
      <c r="W982" t="str">
        <f t="shared" si="400"/>
        <v>美國國會圖書分類法</v>
      </c>
      <c r="Y982" t="str">
        <f>("HG4521")</f>
        <v>HG4521</v>
      </c>
      <c r="Z982" t="str">
        <f>("2018/08/11 13:31:51")</f>
        <v>2018/08/11 13:31:51</v>
      </c>
      <c r="AA982" t="str">
        <f t="shared" si="410"/>
        <v>catc</v>
      </c>
      <c r="AC982" t="str">
        <f>("B218")</f>
        <v>B218</v>
      </c>
      <c r="AE982" t="str">
        <f t="shared" si="394"/>
        <v>c.1</v>
      </c>
      <c r="AF982" t="str">
        <f t="shared" si="411"/>
        <v>1.可借圖書</v>
      </c>
      <c r="AG982" t="str">
        <f t="shared" si="412"/>
        <v>在架</v>
      </c>
      <c r="AI982" t="s">
        <v>65</v>
      </c>
      <c r="AK982" t="str">
        <f t="shared" si="413"/>
        <v>一般(Normal)</v>
      </c>
      <c r="AO982" t="s">
        <v>65</v>
      </c>
      <c r="AS982" t="str">
        <f>("c2001.")</f>
        <v>c2001.</v>
      </c>
      <c r="AT982" t="str">
        <f t="shared" si="414"/>
        <v>catc</v>
      </c>
    </row>
    <row r="983" spans="2:46" x14ac:dyDescent="0.25">
      <c r="B983" t="str">
        <f>("287745")</f>
        <v>287745</v>
      </c>
      <c r="C983" t="str">
        <f>("W00003053")</f>
        <v>W00003053</v>
      </c>
      <c r="D983" t="str">
        <f>("Global positioning for financial services /")</f>
        <v>Global positioning for financial services /</v>
      </c>
      <c r="E983" t="str">
        <f>("Johnson, Hazel J.")</f>
        <v>Johnson, Hazel J.</v>
      </c>
      <c r="F983" t="str">
        <f>("World Scientific,")</f>
        <v>World Scientific,</v>
      </c>
      <c r="H983" t="str">
        <f t="shared" si="406"/>
        <v>圖書 book</v>
      </c>
      <c r="I983" t="str">
        <f>("HG173 J67 2000")</f>
        <v>HG173 J67 2000</v>
      </c>
      <c r="J983" t="str">
        <f>("9810242468")</f>
        <v>9810242468</v>
      </c>
      <c r="K983" t="str">
        <f t="shared" si="407"/>
        <v>0</v>
      </c>
      <c r="L983" t="str">
        <f t="shared" si="408"/>
        <v>2001/10/10 00:00:00</v>
      </c>
      <c r="M983" t="str">
        <f>("2018/08/11 13:31:50")</f>
        <v>2018/08/11 13:31:50</v>
      </c>
      <c r="N983" t="str">
        <f>("2000")</f>
        <v>2000</v>
      </c>
      <c r="O983" t="str">
        <f t="shared" si="409"/>
        <v>4F西文書庫 4F Western Language Books</v>
      </c>
      <c r="P983" t="s">
        <v>64</v>
      </c>
      <c r="W983" t="str">
        <f t="shared" si="400"/>
        <v>美國國會圖書分類法</v>
      </c>
      <c r="Y983" t="str">
        <f>("HG173")</f>
        <v>HG173</v>
      </c>
      <c r="Z983" t="str">
        <f>("2018/08/11 13:31:50")</f>
        <v>2018/08/11 13:31:50</v>
      </c>
      <c r="AA983" t="str">
        <f t="shared" si="410"/>
        <v>catc</v>
      </c>
      <c r="AC983" t="str">
        <f>("J67")</f>
        <v>J67</v>
      </c>
      <c r="AE983" t="str">
        <f t="shared" si="394"/>
        <v>c.1</v>
      </c>
      <c r="AF983" t="str">
        <f t="shared" si="411"/>
        <v>1.可借圖書</v>
      </c>
      <c r="AG983" t="str">
        <f t="shared" si="412"/>
        <v>在架</v>
      </c>
      <c r="AI983" t="s">
        <v>65</v>
      </c>
      <c r="AK983" t="str">
        <f t="shared" si="413"/>
        <v>一般(Normal)</v>
      </c>
      <c r="AO983" t="s">
        <v>65</v>
      </c>
      <c r="AS983" t="str">
        <f>("c2000.")</f>
        <v>c2000.</v>
      </c>
      <c r="AT983" t="str">
        <f t="shared" si="414"/>
        <v>catc</v>
      </c>
    </row>
    <row r="984" spans="2:46" x14ac:dyDescent="0.25">
      <c r="B984" t="str">
        <f>("287764")</f>
        <v>287764</v>
      </c>
      <c r="C984" t="str">
        <f>("W00003054")</f>
        <v>W00003054</v>
      </c>
      <c r="D984" t="str">
        <f>("Hi-tech hi-touch branding :creating brand power in the age of technology /")</f>
        <v>Hi-tech hi-touch branding :creating brand power in the age of technology /</v>
      </c>
      <c r="E984" t="str">
        <f>("Temporal, Paul.")</f>
        <v>Temporal, Paul.</v>
      </c>
      <c r="F984" t="str">
        <f>("Wiley,")</f>
        <v>Wiley,</v>
      </c>
      <c r="H984" t="str">
        <f t="shared" si="406"/>
        <v>圖書 book</v>
      </c>
      <c r="I984" t="str">
        <f>("HF5415.13 T288 2001")</f>
        <v>HF5415.13 T288 2001</v>
      </c>
      <c r="J984" t="str">
        <f>("0471845965")</f>
        <v>0471845965</v>
      </c>
      <c r="K984" t="str">
        <f t="shared" si="407"/>
        <v>0</v>
      </c>
      <c r="L984" t="str">
        <f t="shared" si="408"/>
        <v>2001/10/10 00:00:00</v>
      </c>
      <c r="M984" t="str">
        <f>("2018/08/11 13:31:50")</f>
        <v>2018/08/11 13:31:50</v>
      </c>
      <c r="N984" t="str">
        <f>("2001")</f>
        <v>2001</v>
      </c>
      <c r="O984" t="str">
        <f t="shared" si="409"/>
        <v>4F西文書庫 4F Western Language Books</v>
      </c>
      <c r="P984" t="s">
        <v>64</v>
      </c>
      <c r="W984" t="str">
        <f t="shared" si="400"/>
        <v>美國國會圖書分類法</v>
      </c>
      <c r="Y984" t="str">
        <f>("HF5415.13")</f>
        <v>HF5415.13</v>
      </c>
      <c r="Z984" t="str">
        <f>("2018/08/11 13:31:50")</f>
        <v>2018/08/11 13:31:50</v>
      </c>
      <c r="AA984" t="str">
        <f t="shared" si="410"/>
        <v>catc</v>
      </c>
      <c r="AC984" t="str">
        <f>("T288")</f>
        <v>T288</v>
      </c>
      <c r="AE984" t="str">
        <f t="shared" si="394"/>
        <v>c.1</v>
      </c>
      <c r="AF984" t="str">
        <f t="shared" si="411"/>
        <v>1.可借圖書</v>
      </c>
      <c r="AG984" t="str">
        <f t="shared" si="412"/>
        <v>在架</v>
      </c>
      <c r="AI984" t="s">
        <v>65</v>
      </c>
      <c r="AK984" t="str">
        <f t="shared" si="413"/>
        <v>一般(Normal)</v>
      </c>
      <c r="AO984" t="s">
        <v>65</v>
      </c>
      <c r="AS984" t="str">
        <f>("c2001.")</f>
        <v>c2001.</v>
      </c>
      <c r="AT984" t="str">
        <f t="shared" si="414"/>
        <v>catc</v>
      </c>
    </row>
    <row r="985" spans="2:46" x14ac:dyDescent="0.25">
      <c r="B985" t="str">
        <f>("287818")</f>
        <v>287818</v>
      </c>
      <c r="C985" t="str">
        <f>("W00003055")</f>
        <v>W00003055</v>
      </c>
      <c r="D985" t="str">
        <f>("How to lead a winning team /")</f>
        <v>How to lead a winning team /</v>
      </c>
      <c r="E985" t="str">
        <f>("Morris, Steve.")</f>
        <v>Morris, Steve.</v>
      </c>
      <c r="F985" t="str">
        <f>("Financial Times Management,")</f>
        <v>Financial Times Management,</v>
      </c>
      <c r="H985" t="str">
        <f t="shared" si="406"/>
        <v>圖書 book</v>
      </c>
      <c r="I985" t="str">
        <f>("HD66 M877 2000")</f>
        <v>HD66 M877 2000</v>
      </c>
      <c r="J985" t="str">
        <f>("0273645129")</f>
        <v>0273645129</v>
      </c>
      <c r="K985" t="str">
        <f t="shared" si="407"/>
        <v>0</v>
      </c>
      <c r="L985" t="str">
        <f t="shared" si="408"/>
        <v>2001/10/10 00:00:00</v>
      </c>
      <c r="M985" t="str">
        <f>("2018/08/11 13:31:57")</f>
        <v>2018/08/11 13:31:57</v>
      </c>
      <c r="N985" t="str">
        <f>("2000")</f>
        <v>2000</v>
      </c>
      <c r="O985" t="str">
        <f t="shared" si="409"/>
        <v>4F西文書庫 4F Western Language Books</v>
      </c>
      <c r="P985" t="s">
        <v>64</v>
      </c>
      <c r="W985" t="str">
        <f t="shared" si="400"/>
        <v>美國國會圖書分類法</v>
      </c>
      <c r="Y985" t="str">
        <f>("HD66")</f>
        <v>HD66</v>
      </c>
      <c r="Z985" t="str">
        <f>("2018/08/11 13:31:56")</f>
        <v>2018/08/11 13:31:56</v>
      </c>
      <c r="AA985" t="str">
        <f t="shared" si="410"/>
        <v>catc</v>
      </c>
      <c r="AC985" t="str">
        <f>("M877")</f>
        <v>M877</v>
      </c>
      <c r="AE985" t="str">
        <f t="shared" si="394"/>
        <v>c.1</v>
      </c>
      <c r="AF985" t="str">
        <f t="shared" si="411"/>
        <v>1.可借圖書</v>
      </c>
      <c r="AG985" t="str">
        <f t="shared" si="412"/>
        <v>在架</v>
      </c>
      <c r="AI985" t="s">
        <v>65</v>
      </c>
      <c r="AK985" t="str">
        <f t="shared" si="413"/>
        <v>一般(Normal)</v>
      </c>
      <c r="AO985" t="s">
        <v>65</v>
      </c>
      <c r="AS985" t="str">
        <f>("2000.")</f>
        <v>2000.</v>
      </c>
      <c r="AT985" t="str">
        <f t="shared" si="414"/>
        <v>catc</v>
      </c>
    </row>
    <row r="986" spans="2:46" x14ac:dyDescent="0.25">
      <c r="B986" t="str">
        <f>("288401")</f>
        <v>288401</v>
      </c>
      <c r="C986" t="str">
        <f>("W00003056")</f>
        <v>W00003056</v>
      </c>
      <c r="D986" t="str">
        <f>("How to write proposals and reports that get results /")</f>
        <v>How to write proposals and reports that get results /</v>
      </c>
      <c r="E986" t="str">
        <f>("Jay, Ros.")</f>
        <v>Jay, Ros.</v>
      </c>
      <c r="F986" t="str">
        <f>("Prentice-Hall,")</f>
        <v>Prentice-Hall,</v>
      </c>
      <c r="H986" t="str">
        <f t="shared" si="406"/>
        <v>圖書 book</v>
      </c>
      <c r="I986" t="str">
        <f>("HF5718.5 J42 2000 c.3")</f>
        <v>HF5718.5 J42 2000 c.3</v>
      </c>
      <c r="J986" t="str">
        <f>("0273644971")</f>
        <v>0273644971</v>
      </c>
      <c r="K986" t="str">
        <f t="shared" si="407"/>
        <v>0</v>
      </c>
      <c r="L986" t="str">
        <f t="shared" si="408"/>
        <v>2001/10/10 00:00:00</v>
      </c>
      <c r="M986" t="str">
        <f>("2018/08/11 13:32:54")</f>
        <v>2018/08/11 13:32:54</v>
      </c>
      <c r="N986" t="str">
        <f>("2000")</f>
        <v>2000</v>
      </c>
      <c r="O986" t="str">
        <f>("罕用書庫1-洽櫃台填單 Upon-Request Collection1 fil")</f>
        <v>罕用書庫1-洽櫃台填單 Upon-Request Collection1 fil</v>
      </c>
      <c r="P986" t="s">
        <v>64</v>
      </c>
      <c r="S986" t="str">
        <f>("vi, 157 p. :")</f>
        <v>vi, 157 p. :</v>
      </c>
      <c r="T986" t="str">
        <f>("ill. ;")</f>
        <v>ill. ;</v>
      </c>
      <c r="U986" t="str">
        <f>("21 cm.")</f>
        <v>21 cm.</v>
      </c>
      <c r="W986" t="str">
        <f t="shared" si="400"/>
        <v>美國國會圖書分類法</v>
      </c>
      <c r="Y986" t="str">
        <f>("HF5718.5")</f>
        <v>HF5718.5</v>
      </c>
      <c r="Z986" t="str">
        <f>("2018/08/11 13:32:53")</f>
        <v>2018/08/11 13:32:53</v>
      </c>
      <c r="AA986" t="str">
        <f t="shared" si="410"/>
        <v>catc</v>
      </c>
      <c r="AC986" t="str">
        <f>("J42")</f>
        <v>J42</v>
      </c>
      <c r="AE986" t="str">
        <f>("c.3")</f>
        <v>c.3</v>
      </c>
      <c r="AF986" t="str">
        <f>("不流通")</f>
        <v>不流通</v>
      </c>
      <c r="AG986" t="str">
        <f>("報銷中")</f>
        <v>報銷中</v>
      </c>
      <c r="AI986" t="s">
        <v>65</v>
      </c>
      <c r="AK986" t="str">
        <f t="shared" si="413"/>
        <v>一般(Normal)</v>
      </c>
      <c r="AO986" t="s">
        <v>65</v>
      </c>
      <c r="AS986" t="str">
        <f>("c2000.")</f>
        <v>c2000.</v>
      </c>
      <c r="AT986" t="str">
        <f t="shared" si="414"/>
        <v>catc</v>
      </c>
    </row>
    <row r="987" spans="2:46" x14ac:dyDescent="0.25">
      <c r="B987" t="str">
        <f>("287763")</f>
        <v>287763</v>
      </c>
      <c r="C987" t="str">
        <f>("W00003057")</f>
        <v>W00003057</v>
      </c>
      <c r="D987" t="str">
        <f>("Import/export :how to get started in international trade /")</f>
        <v>Import/export :how to get started in international trade /</v>
      </c>
      <c r="E987" t="str">
        <f>("Nelson, Carl A.,1930-")</f>
        <v>Nelson, Carl A.,1930-</v>
      </c>
      <c r="F987" t="str">
        <f>("McGraw Hill,")</f>
        <v>McGraw Hill,</v>
      </c>
      <c r="G987" t="str">
        <f>("3rd ed., expanded and updated.")</f>
        <v>3rd ed., expanded and updated.</v>
      </c>
      <c r="H987" t="str">
        <f t="shared" si="406"/>
        <v>圖書 book</v>
      </c>
      <c r="I987" t="str">
        <f>("HF1416 N425 2000")</f>
        <v>HF1416 N425 2000</v>
      </c>
      <c r="J987" t="str">
        <f>("0071358714")</f>
        <v>0071358714</v>
      </c>
      <c r="K987" t="str">
        <f t="shared" si="407"/>
        <v>0</v>
      </c>
      <c r="L987" t="str">
        <f t="shared" si="408"/>
        <v>2001/10/10 00:00:00</v>
      </c>
      <c r="M987" t="str">
        <f>("2018/08/11 13:31:50")</f>
        <v>2018/08/11 13:31:50</v>
      </c>
      <c r="N987" t="str">
        <f>("2000")</f>
        <v>2000</v>
      </c>
      <c r="O987" t="str">
        <f t="shared" ref="O987:O1003" si="415">("4F西文書庫 4F Western Language Books")</f>
        <v>4F西文書庫 4F Western Language Books</v>
      </c>
      <c r="P987" t="s">
        <v>64</v>
      </c>
      <c r="W987" t="str">
        <f t="shared" si="400"/>
        <v>美國國會圖書分類法</v>
      </c>
      <c r="Y987" t="str">
        <f>("HF1416")</f>
        <v>HF1416</v>
      </c>
      <c r="Z987" t="str">
        <f>("2018/08/11 13:31:50")</f>
        <v>2018/08/11 13:31:50</v>
      </c>
      <c r="AA987" t="str">
        <f t="shared" si="410"/>
        <v>catc</v>
      </c>
      <c r="AC987" t="str">
        <f>("N425")</f>
        <v>N425</v>
      </c>
      <c r="AE987" t="str">
        <f t="shared" ref="AE987:AE1003" si="416">("c.1")</f>
        <v>c.1</v>
      </c>
      <c r="AF987" t="str">
        <f t="shared" ref="AF987:AF1003" si="417">("1.可借圖書")</f>
        <v>1.可借圖書</v>
      </c>
      <c r="AG987" t="str">
        <f t="shared" ref="AG987:AG1003" si="418">("在架")</f>
        <v>在架</v>
      </c>
      <c r="AI987" t="s">
        <v>65</v>
      </c>
      <c r="AK987" t="str">
        <f t="shared" si="413"/>
        <v>一般(Normal)</v>
      </c>
      <c r="AO987" t="s">
        <v>65</v>
      </c>
      <c r="AS987" t="str">
        <f>("c2000.")</f>
        <v>c2000.</v>
      </c>
      <c r="AT987" t="str">
        <f t="shared" si="414"/>
        <v>catc</v>
      </c>
    </row>
    <row r="988" spans="2:46" x14ac:dyDescent="0.25">
      <c r="B988" t="str">
        <f>("287826")</f>
        <v>287826</v>
      </c>
      <c r="C988" t="str">
        <f>("W00003058")</f>
        <v>W00003058</v>
      </c>
      <c r="D988" t="str">
        <f>("Investing with the grand masters :insights from Britain's greatest investment minds /")</f>
        <v>Investing with the grand masters :insights from Britain's greatest investment minds /</v>
      </c>
      <c r="E988" t="str">
        <f>("Morton, James,1951-")</f>
        <v>Morton, James,1951-</v>
      </c>
      <c r="F988" t="str">
        <f>("Financial Times Management,")</f>
        <v>Financial Times Management,</v>
      </c>
      <c r="H988" t="str">
        <f t="shared" si="406"/>
        <v>圖書 book</v>
      </c>
      <c r="I988" t="str">
        <f>("HG4521 M889 1999")</f>
        <v>HG4521 M889 1999</v>
      </c>
      <c r="J988" t="str">
        <f>("0273639447")</f>
        <v>0273639447</v>
      </c>
      <c r="K988" t="str">
        <f t="shared" si="407"/>
        <v>0</v>
      </c>
      <c r="L988" t="str">
        <f t="shared" si="408"/>
        <v>2001/10/10 00:00:00</v>
      </c>
      <c r="M988" t="str">
        <f>("2018/08/11 13:31:57")</f>
        <v>2018/08/11 13:31:57</v>
      </c>
      <c r="N988" t="str">
        <f>("1999")</f>
        <v>1999</v>
      </c>
      <c r="O988" t="str">
        <f t="shared" si="415"/>
        <v>4F西文書庫 4F Western Language Books</v>
      </c>
      <c r="P988" t="s">
        <v>64</v>
      </c>
      <c r="W988" t="str">
        <f t="shared" si="400"/>
        <v>美國國會圖書分類法</v>
      </c>
      <c r="Y988" t="str">
        <f>("HG4521")</f>
        <v>HG4521</v>
      </c>
      <c r="Z988" t="str">
        <f>("2018/08/11 13:31:57")</f>
        <v>2018/08/11 13:31:57</v>
      </c>
      <c r="AA988" t="str">
        <f t="shared" si="410"/>
        <v>catc</v>
      </c>
      <c r="AC988" t="str">
        <f>("M889")</f>
        <v>M889</v>
      </c>
      <c r="AE988" t="str">
        <f t="shared" si="416"/>
        <v>c.1</v>
      </c>
      <c r="AF988" t="str">
        <f t="shared" si="417"/>
        <v>1.可借圖書</v>
      </c>
      <c r="AG988" t="str">
        <f t="shared" si="418"/>
        <v>在架</v>
      </c>
      <c r="AI988" t="s">
        <v>65</v>
      </c>
      <c r="AK988" t="str">
        <f t="shared" si="413"/>
        <v>一般(Normal)</v>
      </c>
      <c r="AO988" t="s">
        <v>65</v>
      </c>
      <c r="AS988" t="str">
        <f>("1999.")</f>
        <v>1999.</v>
      </c>
      <c r="AT988" t="str">
        <f t="shared" si="414"/>
        <v>catc</v>
      </c>
    </row>
    <row r="989" spans="2:46" x14ac:dyDescent="0.25">
      <c r="B989" t="str">
        <f>("287825")</f>
        <v>287825</v>
      </c>
      <c r="C989" t="str">
        <f>("W00003059")</f>
        <v>W00003059</v>
      </c>
      <c r="D989" t="str">
        <f>("Investment appraisal for non-financial managers :a step-by-step guide to making profitable decisions /")</f>
        <v>Investment appraisal for non-financial managers :a step-by-step guide to making profitable decisions /</v>
      </c>
      <c r="E989" t="str">
        <f>("Moran, Kate.")</f>
        <v>Moran, Kate.</v>
      </c>
      <c r="F989" t="str">
        <f>("Prentice Hall,")</f>
        <v>Prentice Hall,</v>
      </c>
      <c r="H989" t="str">
        <f t="shared" si="406"/>
        <v>圖書 book</v>
      </c>
      <c r="I989" t="str">
        <f>("HG4521 M829 2000")</f>
        <v>HG4521 M829 2000</v>
      </c>
      <c r="J989" t="str">
        <f>("0273644920;0273626825")</f>
        <v>0273644920;0273626825</v>
      </c>
      <c r="K989" t="str">
        <f t="shared" si="407"/>
        <v>0</v>
      </c>
      <c r="L989" t="str">
        <f t="shared" si="408"/>
        <v>2001/10/10 00:00:00</v>
      </c>
      <c r="M989" t="str">
        <f>("2018/08/11 13:31:57")</f>
        <v>2018/08/11 13:31:57</v>
      </c>
      <c r="N989" t="str">
        <f>("2000")</f>
        <v>2000</v>
      </c>
      <c r="O989" t="str">
        <f t="shared" si="415"/>
        <v>4F西文書庫 4F Western Language Books</v>
      </c>
      <c r="P989" t="s">
        <v>64</v>
      </c>
      <c r="W989" t="str">
        <f t="shared" si="400"/>
        <v>美國國會圖書分類法</v>
      </c>
      <c r="Y989" t="str">
        <f>("HG4521")</f>
        <v>HG4521</v>
      </c>
      <c r="Z989" t="str">
        <f>("2018/08/11 13:31:57")</f>
        <v>2018/08/11 13:31:57</v>
      </c>
      <c r="AA989" t="str">
        <f t="shared" si="410"/>
        <v>catc</v>
      </c>
      <c r="AC989" t="str">
        <f>("M829")</f>
        <v>M829</v>
      </c>
      <c r="AE989" t="str">
        <f t="shared" si="416"/>
        <v>c.1</v>
      </c>
      <c r="AF989" t="str">
        <f t="shared" si="417"/>
        <v>1.可借圖書</v>
      </c>
      <c r="AG989" t="str">
        <f t="shared" si="418"/>
        <v>在架</v>
      </c>
      <c r="AI989" t="s">
        <v>65</v>
      </c>
      <c r="AK989" t="str">
        <f t="shared" si="413"/>
        <v>一般(Normal)</v>
      </c>
      <c r="AO989" t="s">
        <v>65</v>
      </c>
      <c r="AS989" t="str">
        <f>("c2000.")</f>
        <v>c2000.</v>
      </c>
      <c r="AT989" t="str">
        <f t="shared" si="414"/>
        <v>catc</v>
      </c>
    </row>
    <row r="990" spans="2:46" x14ac:dyDescent="0.25">
      <c r="B990" t="str">
        <f>("290493")</f>
        <v>290493</v>
      </c>
      <c r="C990" t="str">
        <f>("W00003060")</f>
        <v>W00003060</v>
      </c>
      <c r="D990" t="str">
        <f>("Kaizen strategies for improving team performance :how to accelerate team development and enhance team productivity /")</f>
        <v>Kaizen strategies for improving team performance :how to accelerate team development and enhance team productivity /</v>
      </c>
      <c r="E990" t="str">
        <f>("Colenso, Michael.")</f>
        <v>Colenso, Michael.</v>
      </c>
      <c r="F990" t="str">
        <f>("Financial Times Prentice Hall (Pearson Education),")</f>
        <v>Financial Times Prentice Hall (Pearson Education),</v>
      </c>
      <c r="H990" t="str">
        <f t="shared" si="406"/>
        <v>圖書 book</v>
      </c>
      <c r="I990" t="str">
        <f>("HD66 K13 2000")</f>
        <v>HD66 K13 2000</v>
      </c>
      <c r="J990" t="str">
        <f>("0273639862")</f>
        <v>0273639862</v>
      </c>
      <c r="K990" t="str">
        <f t="shared" si="407"/>
        <v>0</v>
      </c>
      <c r="L990" t="str">
        <f>("2001/10/16 00:00:00")</f>
        <v>2001/10/16 00:00:00</v>
      </c>
      <c r="M990" t="str">
        <f>("2018/08/11 13:36:32")</f>
        <v>2018/08/11 13:36:32</v>
      </c>
      <c r="N990" t="str">
        <f>("2000")</f>
        <v>2000</v>
      </c>
      <c r="O990" t="str">
        <f t="shared" si="415"/>
        <v>4F西文書庫 4F Western Language Books</v>
      </c>
      <c r="P990" t="s">
        <v>64</v>
      </c>
      <c r="W990" t="str">
        <f t="shared" si="400"/>
        <v>美國國會圖書分類法</v>
      </c>
      <c r="Y990" t="str">
        <f>("HD66")</f>
        <v>HD66</v>
      </c>
      <c r="Z990" t="str">
        <f>("2018/08/11 13:36:32")</f>
        <v>2018/08/11 13:36:32</v>
      </c>
      <c r="AA990" t="str">
        <f t="shared" si="410"/>
        <v>catc</v>
      </c>
      <c r="AC990" t="str">
        <f>("K13")</f>
        <v>K13</v>
      </c>
      <c r="AE990" t="str">
        <f t="shared" si="416"/>
        <v>c.1</v>
      </c>
      <c r="AF990" t="str">
        <f t="shared" si="417"/>
        <v>1.可借圖書</v>
      </c>
      <c r="AG990" t="str">
        <f t="shared" si="418"/>
        <v>在架</v>
      </c>
      <c r="AI990" t="s">
        <v>65</v>
      </c>
      <c r="AK990" t="str">
        <f t="shared" si="413"/>
        <v>一般(Normal)</v>
      </c>
      <c r="AO990" t="s">
        <v>65</v>
      </c>
      <c r="AS990" t="str">
        <f>("2000.")</f>
        <v>2000.</v>
      </c>
      <c r="AT990" t="str">
        <f t="shared" si="414"/>
        <v>catc</v>
      </c>
    </row>
    <row r="991" spans="2:46" x14ac:dyDescent="0.25">
      <c r="B991" t="str">
        <f>("287765")</f>
        <v>287765</v>
      </c>
      <c r="C991" t="str">
        <f>("W00003061")</f>
        <v>W00003061</v>
      </c>
      <c r="D991" t="str">
        <f>("Kaizen strategies for successful organizational change :enabling evolution and revolution within the organization /")</f>
        <v>Kaizen strategies for successful organizational change :enabling evolution and revolution within the organization /</v>
      </c>
      <c r="E991" t="str">
        <f>("Colenso, Michael.")</f>
        <v>Colenso, Michael.</v>
      </c>
      <c r="F991" t="str">
        <f>("Financial Times Prentice Hall,")</f>
        <v>Financial Times Prentice Hall,</v>
      </c>
      <c r="H991" t="str">
        <f t="shared" si="406"/>
        <v>圖書 book</v>
      </c>
      <c r="I991" t="str">
        <f>("HD58.8 C692 2000")</f>
        <v>HD58.8 C692 2000</v>
      </c>
      <c r="J991" t="str">
        <f>("0273639854")</f>
        <v>0273639854</v>
      </c>
      <c r="K991" t="str">
        <f t="shared" si="407"/>
        <v>0</v>
      </c>
      <c r="L991" t="str">
        <f>("2001/10/10 00:00:00")</f>
        <v>2001/10/10 00:00:00</v>
      </c>
      <c r="M991" t="str">
        <f>("2018/08/11 13:31:51")</f>
        <v>2018/08/11 13:31:51</v>
      </c>
      <c r="N991" t="str">
        <f>("2000")</f>
        <v>2000</v>
      </c>
      <c r="O991" t="str">
        <f t="shared" si="415"/>
        <v>4F西文書庫 4F Western Language Books</v>
      </c>
      <c r="P991" t="s">
        <v>64</v>
      </c>
      <c r="W991" t="str">
        <f t="shared" si="400"/>
        <v>美國國會圖書分類法</v>
      </c>
      <c r="Y991" t="str">
        <f>("HD58.8")</f>
        <v>HD58.8</v>
      </c>
      <c r="Z991" t="str">
        <f>("2018/08/11 13:31:51")</f>
        <v>2018/08/11 13:31:51</v>
      </c>
      <c r="AA991" t="str">
        <f t="shared" si="410"/>
        <v>catc</v>
      </c>
      <c r="AC991" t="str">
        <f>("C692")</f>
        <v>C692</v>
      </c>
      <c r="AE991" t="str">
        <f t="shared" si="416"/>
        <v>c.1</v>
      </c>
      <c r="AF991" t="str">
        <f t="shared" si="417"/>
        <v>1.可借圖書</v>
      </c>
      <c r="AG991" t="str">
        <f t="shared" si="418"/>
        <v>在架</v>
      </c>
      <c r="AI991" t="s">
        <v>65</v>
      </c>
      <c r="AK991" t="str">
        <f t="shared" si="413"/>
        <v>一般(Normal)</v>
      </c>
      <c r="AO991" t="s">
        <v>65</v>
      </c>
      <c r="AS991" t="str">
        <f>("2000.")</f>
        <v>2000.</v>
      </c>
      <c r="AT991" t="str">
        <f t="shared" si="414"/>
        <v>catc</v>
      </c>
    </row>
    <row r="992" spans="2:46" x14ac:dyDescent="0.25">
      <c r="B992" t="str">
        <f>("287816")</f>
        <v>287816</v>
      </c>
      <c r="C992" t="str">
        <f>("W00003062")</f>
        <v>W00003062</v>
      </c>
      <c r="D992" t="str">
        <f>("Management 21C :someday we'll all manage this way /")</f>
        <v>Management 21C :someday we'll all manage this way /</v>
      </c>
      <c r="E992" t="str">
        <f>("Chowdhury, Subir.")</f>
        <v>Chowdhury, Subir.</v>
      </c>
      <c r="F992" t="str">
        <f>("Prentice Hall,;Financial Times Management ;")</f>
        <v>Prentice Hall,;Financial Times Management ;</v>
      </c>
      <c r="H992" t="str">
        <f t="shared" si="406"/>
        <v>圖書 book</v>
      </c>
      <c r="I992" t="str">
        <f>("HD31 C552 2000")</f>
        <v>HD31 C552 2000</v>
      </c>
      <c r="J992" t="str">
        <f>("0273639633")</f>
        <v>0273639633</v>
      </c>
      <c r="K992" t="str">
        <f t="shared" si="407"/>
        <v>0</v>
      </c>
      <c r="L992" t="str">
        <f>("2001/10/10 00:00:00")</f>
        <v>2001/10/10 00:00:00</v>
      </c>
      <c r="M992" t="str">
        <f>("2018/08/11 13:31:56")</f>
        <v>2018/08/11 13:31:56</v>
      </c>
      <c r="N992" t="str">
        <f>("2000")</f>
        <v>2000</v>
      </c>
      <c r="O992" t="str">
        <f t="shared" si="415"/>
        <v>4F西文書庫 4F Western Language Books</v>
      </c>
      <c r="P992" t="s">
        <v>64</v>
      </c>
      <c r="W992" t="str">
        <f t="shared" si="400"/>
        <v>美國國會圖書分類法</v>
      </c>
      <c r="Y992" t="str">
        <f>("HD31")</f>
        <v>HD31</v>
      </c>
      <c r="Z992" t="str">
        <f>("2018/08/11 13:31:56")</f>
        <v>2018/08/11 13:31:56</v>
      </c>
      <c r="AA992" t="str">
        <f t="shared" si="410"/>
        <v>catc</v>
      </c>
      <c r="AC992" t="str">
        <f>("C552")</f>
        <v>C552</v>
      </c>
      <c r="AE992" t="str">
        <f t="shared" si="416"/>
        <v>c.1</v>
      </c>
      <c r="AF992" t="str">
        <f t="shared" si="417"/>
        <v>1.可借圖書</v>
      </c>
      <c r="AG992" t="str">
        <f t="shared" si="418"/>
        <v>在架</v>
      </c>
      <c r="AI992" t="s">
        <v>65</v>
      </c>
      <c r="AK992" t="str">
        <f t="shared" si="413"/>
        <v>一般(Normal)</v>
      </c>
      <c r="AO992" t="s">
        <v>65</v>
      </c>
      <c r="AS992" t="str">
        <f>("c2000.")</f>
        <v>c2000.</v>
      </c>
      <c r="AT992" t="str">
        <f t="shared" si="414"/>
        <v>catc</v>
      </c>
    </row>
    <row r="993" spans="2:46" x14ac:dyDescent="0.25">
      <c r="B993" t="str">
        <f>("287842")</f>
        <v>287842</v>
      </c>
      <c r="C993" t="str">
        <f>("W00003063")</f>
        <v>W00003063</v>
      </c>
      <c r="D993" t="str">
        <f>("Pension power :take control of your most valuable financial asset /")</f>
        <v>Pension power :take control of your most valuable financial asset /</v>
      </c>
      <c r="E993" t="str">
        <f>("Harrison, Debbie.")</f>
        <v>Harrison, Debbie.</v>
      </c>
      <c r="F993" t="str">
        <f>("Financial Times Management,")</f>
        <v>Financial Times Management,</v>
      </c>
      <c r="G993" t="str">
        <f>("3rd ed.")</f>
        <v>3rd ed.</v>
      </c>
      <c r="H993" t="str">
        <f t="shared" si="406"/>
        <v>圖書 book</v>
      </c>
      <c r="I993" t="str">
        <f>("HD7096.G7 H318 1999")</f>
        <v>HD7096.G7 H318 1999</v>
      </c>
      <c r="J993" t="str">
        <f>("0273641573")</f>
        <v>0273641573</v>
      </c>
      <c r="K993" t="str">
        <f t="shared" si="407"/>
        <v>0</v>
      </c>
      <c r="L993" t="str">
        <f>("2001/10/10 00:00:00")</f>
        <v>2001/10/10 00:00:00</v>
      </c>
      <c r="M993" t="str">
        <f>("2018/08/11 13:31:58")</f>
        <v>2018/08/11 13:31:58</v>
      </c>
      <c r="N993" t="str">
        <f>("1999")</f>
        <v>1999</v>
      </c>
      <c r="O993" t="str">
        <f t="shared" si="415"/>
        <v>4F西文書庫 4F Western Language Books</v>
      </c>
      <c r="P993" t="s">
        <v>64</v>
      </c>
      <c r="W993" t="str">
        <f t="shared" si="400"/>
        <v>美國國會圖書分類法</v>
      </c>
      <c r="Y993" t="str">
        <f>("HD7096.G7")</f>
        <v>HD7096.G7</v>
      </c>
      <c r="Z993" t="str">
        <f>("2018/08/11 13:31:58")</f>
        <v>2018/08/11 13:31:58</v>
      </c>
      <c r="AA993" t="str">
        <f t="shared" si="410"/>
        <v>catc</v>
      </c>
      <c r="AC993" t="str">
        <f>("H318")</f>
        <v>H318</v>
      </c>
      <c r="AE993" t="str">
        <f t="shared" si="416"/>
        <v>c.1</v>
      </c>
      <c r="AF993" t="str">
        <f t="shared" si="417"/>
        <v>1.可借圖書</v>
      </c>
      <c r="AG993" t="str">
        <f t="shared" si="418"/>
        <v>在架</v>
      </c>
      <c r="AI993" t="s">
        <v>65</v>
      </c>
      <c r="AK993" t="str">
        <f t="shared" si="413"/>
        <v>一般(Normal)</v>
      </c>
      <c r="AO993" t="s">
        <v>65</v>
      </c>
      <c r="AS993" t="str">
        <f>("1999.")</f>
        <v>1999.</v>
      </c>
      <c r="AT993" t="str">
        <f t="shared" si="414"/>
        <v>catc</v>
      </c>
    </row>
    <row r="994" spans="2:46" x14ac:dyDescent="0.25">
      <c r="B994" t="str">
        <f>("287766")</f>
        <v>287766</v>
      </c>
      <c r="C994" t="str">
        <f>("W00003064")</f>
        <v>W00003064</v>
      </c>
      <c r="D994" t="str">
        <f>("Real traders, real people :how people like you are making it in the markets /")</f>
        <v>Real traders, real people :how people like you are making it in the markets /</v>
      </c>
      <c r="E994" t="str">
        <f>("Ruggiero, Murray A.,1963-")</f>
        <v>Ruggiero, Murray A.,1963-</v>
      </c>
      <c r="F994" t="str">
        <f>("Financial Times Management,")</f>
        <v>Financial Times Management,</v>
      </c>
      <c r="H994" t="str">
        <f t="shared" si="406"/>
        <v>圖書 book</v>
      </c>
      <c r="I994" t="str">
        <f>("HG6041 R931 2000")</f>
        <v>HG6041 R931 2000</v>
      </c>
      <c r="J994" t="str">
        <f>("0273644688")</f>
        <v>0273644688</v>
      </c>
      <c r="K994" t="str">
        <f t="shared" si="407"/>
        <v>0</v>
      </c>
      <c r="L994" t="str">
        <f>("2001/10/10 00:00:00")</f>
        <v>2001/10/10 00:00:00</v>
      </c>
      <c r="M994" t="str">
        <f>("2018/08/11 13:31:51")</f>
        <v>2018/08/11 13:31:51</v>
      </c>
      <c r="N994" t="str">
        <f>("2000")</f>
        <v>2000</v>
      </c>
      <c r="O994" t="str">
        <f t="shared" si="415"/>
        <v>4F西文書庫 4F Western Language Books</v>
      </c>
      <c r="P994" t="s">
        <v>64</v>
      </c>
      <c r="W994" t="str">
        <f t="shared" si="400"/>
        <v>美國國會圖書分類法</v>
      </c>
      <c r="Y994" t="str">
        <f>("HG6041")</f>
        <v>HG6041</v>
      </c>
      <c r="Z994" t="str">
        <f>("2018/08/11 13:31:51")</f>
        <v>2018/08/11 13:31:51</v>
      </c>
      <c r="AA994" t="str">
        <f t="shared" si="410"/>
        <v>catc</v>
      </c>
      <c r="AC994" t="str">
        <f>("R931")</f>
        <v>R931</v>
      </c>
      <c r="AE994" t="str">
        <f t="shared" si="416"/>
        <v>c.1</v>
      </c>
      <c r="AF994" t="str">
        <f t="shared" si="417"/>
        <v>1.可借圖書</v>
      </c>
      <c r="AG994" t="str">
        <f t="shared" si="418"/>
        <v>在架</v>
      </c>
      <c r="AI994" t="s">
        <v>65</v>
      </c>
      <c r="AK994" t="str">
        <f t="shared" si="413"/>
        <v>一般(Normal)</v>
      </c>
      <c r="AO994" t="s">
        <v>65</v>
      </c>
      <c r="AS994" t="str">
        <f>("2000.")</f>
        <v>2000.</v>
      </c>
      <c r="AT994" t="str">
        <f t="shared" si="414"/>
        <v>catc</v>
      </c>
    </row>
    <row r="995" spans="2:46" x14ac:dyDescent="0.25">
      <c r="B995" t="str">
        <f>("290492")</f>
        <v>290492</v>
      </c>
      <c r="C995" t="str">
        <f>("W00003065")</f>
        <v>W00003065</v>
      </c>
      <c r="D995" t="str">
        <f>("Resources, firms, and strategies :a reader in the resource-based perspective /")</f>
        <v>Resources, firms, and strategies :a reader in the resource-based perspective /</v>
      </c>
      <c r="E995" t="str">
        <f>("Foss, Nicolai J.,1964-")</f>
        <v>Foss, Nicolai J.,1964-</v>
      </c>
      <c r="F995" t="str">
        <f>("Oxford University Press,")</f>
        <v>Oxford University Press,</v>
      </c>
      <c r="H995" t="str">
        <f t="shared" si="406"/>
        <v>圖書 book</v>
      </c>
      <c r="I995" t="str">
        <f>("HD2326 R434 1997")</f>
        <v>HD2326 R434 1997</v>
      </c>
      <c r="J995" t="str">
        <f>("0198781792")</f>
        <v>0198781792</v>
      </c>
      <c r="K995" t="str">
        <f t="shared" si="407"/>
        <v>0</v>
      </c>
      <c r="L995" t="str">
        <f>("2001/10/16 00:00:00")</f>
        <v>2001/10/16 00:00:00</v>
      </c>
      <c r="M995" t="str">
        <f>("2018/08/11 13:36:32")</f>
        <v>2018/08/11 13:36:32</v>
      </c>
      <c r="N995" t="str">
        <f>("1997")</f>
        <v>1997</v>
      </c>
      <c r="O995" t="str">
        <f t="shared" si="415"/>
        <v>4F西文書庫 4F Western Language Books</v>
      </c>
      <c r="P995" t="s">
        <v>64</v>
      </c>
      <c r="W995" t="str">
        <f t="shared" si="400"/>
        <v>美國國會圖書分類法</v>
      </c>
      <c r="Y995" t="str">
        <f>("HD2326")</f>
        <v>HD2326</v>
      </c>
      <c r="Z995" t="str">
        <f>("2018/08/11 13:36:31")</f>
        <v>2018/08/11 13:36:31</v>
      </c>
      <c r="AA995" t="str">
        <f t="shared" si="410"/>
        <v>catc</v>
      </c>
      <c r="AC995" t="str">
        <f>("R434")</f>
        <v>R434</v>
      </c>
      <c r="AE995" t="str">
        <f t="shared" si="416"/>
        <v>c.1</v>
      </c>
      <c r="AF995" t="str">
        <f t="shared" si="417"/>
        <v>1.可借圖書</v>
      </c>
      <c r="AG995" t="str">
        <f t="shared" si="418"/>
        <v>在架</v>
      </c>
      <c r="AI995" t="s">
        <v>65</v>
      </c>
      <c r="AK995" t="str">
        <f t="shared" si="413"/>
        <v>一般(Normal)</v>
      </c>
      <c r="AO995" t="s">
        <v>65</v>
      </c>
      <c r="AS995" t="str">
        <f>("1997.")</f>
        <v>1997.</v>
      </c>
      <c r="AT995" t="str">
        <f t="shared" si="414"/>
        <v>catc</v>
      </c>
    </row>
    <row r="996" spans="2:46" x14ac:dyDescent="0.25">
      <c r="B996" t="str">
        <f>("288051")</f>
        <v>288051</v>
      </c>
      <c r="C996" t="str">
        <f>("W00003066")</f>
        <v>W00003066</v>
      </c>
      <c r="D996" t="str">
        <f>("The inner game of investing : access the power of your investment personality / ")</f>
        <v xml:space="preserve">The inner game of investing : access the power of your investment personality / </v>
      </c>
      <c r="E996" t="str">
        <f>("Niederman, Derrick. ")</f>
        <v xml:space="preserve">Niederman, Derrick. </v>
      </c>
      <c r="F996" t="str">
        <f>("Wiley, ")</f>
        <v xml:space="preserve">Wiley, </v>
      </c>
      <c r="H996" t="str">
        <f t="shared" si="406"/>
        <v>圖書 book</v>
      </c>
      <c r="I996" t="str">
        <f>("HG4515.15 N666 1999")</f>
        <v>HG4515.15 N666 1999</v>
      </c>
      <c r="J996" t="str">
        <f>("047131479X")</f>
        <v>047131479X</v>
      </c>
      <c r="K996" t="str">
        <f t="shared" si="407"/>
        <v>0</v>
      </c>
      <c r="L996" t="str">
        <f>("2001/10/10 00:00:00")</f>
        <v>2001/10/10 00:00:00</v>
      </c>
      <c r="M996" t="str">
        <f>("2018/08/11 13:32:20")</f>
        <v>2018/08/11 13:32:20</v>
      </c>
      <c r="N996" t="str">
        <f>("1999")</f>
        <v>1999</v>
      </c>
      <c r="O996" t="str">
        <f t="shared" si="415"/>
        <v>4F西文書庫 4F Western Language Books</v>
      </c>
      <c r="P996" t="s">
        <v>64</v>
      </c>
      <c r="S996" t="str">
        <f>("ix, 198 p. : ")</f>
        <v xml:space="preserve">ix, 198 p. : </v>
      </c>
      <c r="T996" t="str">
        <f>("ill. ; ")</f>
        <v xml:space="preserve">ill. ; </v>
      </c>
      <c r="U996" t="str">
        <f>("24 cm. ")</f>
        <v xml:space="preserve">24 cm. </v>
      </c>
      <c r="W996" t="str">
        <f t="shared" si="400"/>
        <v>美國國會圖書分類法</v>
      </c>
      <c r="Y996" t="str">
        <f>("HG4515.15")</f>
        <v>HG4515.15</v>
      </c>
      <c r="Z996" t="str">
        <f>("2018/08/11 13:32:20")</f>
        <v>2018/08/11 13:32:20</v>
      </c>
      <c r="AA996" t="str">
        <f t="shared" si="410"/>
        <v>catc</v>
      </c>
      <c r="AC996" t="str">
        <f>("N666")</f>
        <v>N666</v>
      </c>
      <c r="AE996" t="str">
        <f t="shared" si="416"/>
        <v>c.1</v>
      </c>
      <c r="AF996" t="str">
        <f t="shared" si="417"/>
        <v>1.可借圖書</v>
      </c>
      <c r="AG996" t="str">
        <f t="shared" si="418"/>
        <v>在架</v>
      </c>
      <c r="AI996" t="s">
        <v>65</v>
      </c>
      <c r="AK996" t="str">
        <f t="shared" si="413"/>
        <v>一般(Normal)</v>
      </c>
      <c r="AO996" t="s">
        <v>65</v>
      </c>
      <c r="AS996" t="str">
        <f>("c1999. ")</f>
        <v xml:space="preserve">c1999. </v>
      </c>
      <c r="AT996" t="str">
        <f t="shared" si="414"/>
        <v>catc</v>
      </c>
    </row>
    <row r="997" spans="2:46" x14ac:dyDescent="0.25">
      <c r="B997" t="str">
        <f>("288186")</f>
        <v>288186</v>
      </c>
      <c r="C997" t="str">
        <f>("W00003067")</f>
        <v>W00003067</v>
      </c>
      <c r="D997" t="str">
        <f>("The management and marketing of services / ")</f>
        <v xml:space="preserve">The management and marketing of services / </v>
      </c>
      <c r="E997" t="str">
        <f>("Mudie, Peter. ")</f>
        <v xml:space="preserve">Mudie, Peter. </v>
      </c>
      <c r="F997" t="str">
        <f>("Butterworth Heinemann, ")</f>
        <v xml:space="preserve">Butterworth Heinemann, </v>
      </c>
      <c r="G997" t="str">
        <f>("2nd ed. ")</f>
        <v xml:space="preserve">2nd ed. </v>
      </c>
      <c r="H997" t="str">
        <f t="shared" si="406"/>
        <v>圖書 book</v>
      </c>
      <c r="I997" t="str">
        <f>("HD9980.5 M945 1999")</f>
        <v>HD9980.5 M945 1999</v>
      </c>
      <c r="J997" t="str">
        <f>("0750635940")</f>
        <v>0750635940</v>
      </c>
      <c r="K997" t="str">
        <f t="shared" si="407"/>
        <v>0</v>
      </c>
      <c r="L997" t="str">
        <f>("2001/10/10 00:00:00")</f>
        <v>2001/10/10 00:00:00</v>
      </c>
      <c r="M997" t="str">
        <f>("2018/08/11 13:32:33")</f>
        <v>2018/08/11 13:32:33</v>
      </c>
      <c r="N997" t="str">
        <f>("1999")</f>
        <v>1999</v>
      </c>
      <c r="O997" t="str">
        <f t="shared" si="415"/>
        <v>4F西文書庫 4F Western Language Books</v>
      </c>
      <c r="P997" t="s">
        <v>64</v>
      </c>
      <c r="S997" t="str">
        <f>("x, 306 p. : ")</f>
        <v xml:space="preserve">x, 306 p. : </v>
      </c>
      <c r="T997" t="str">
        <f>("ill. ; ")</f>
        <v xml:space="preserve">ill. ; </v>
      </c>
      <c r="U997" t="str">
        <f>("24 cm. ")</f>
        <v xml:space="preserve">24 cm. </v>
      </c>
      <c r="W997" t="str">
        <f t="shared" si="400"/>
        <v>美國國會圖書分類法</v>
      </c>
      <c r="Y997" t="str">
        <f>("HD9980.5")</f>
        <v>HD9980.5</v>
      </c>
      <c r="Z997" t="str">
        <f>("2018/08/11 13:32:33")</f>
        <v>2018/08/11 13:32:33</v>
      </c>
      <c r="AA997" t="str">
        <f t="shared" si="410"/>
        <v>catc</v>
      </c>
      <c r="AC997" t="str">
        <f>("M945")</f>
        <v>M945</v>
      </c>
      <c r="AE997" t="str">
        <f t="shared" si="416"/>
        <v>c.1</v>
      </c>
      <c r="AF997" t="str">
        <f t="shared" si="417"/>
        <v>1.可借圖書</v>
      </c>
      <c r="AG997" t="str">
        <f t="shared" si="418"/>
        <v>在架</v>
      </c>
      <c r="AI997" t="s">
        <v>65</v>
      </c>
      <c r="AK997" t="str">
        <f t="shared" si="413"/>
        <v>一般(Normal)</v>
      </c>
      <c r="AO997" t="s">
        <v>65</v>
      </c>
      <c r="AS997" t="str">
        <f>("1999. ")</f>
        <v xml:space="preserve">1999. </v>
      </c>
      <c r="AT997" t="str">
        <f t="shared" si="414"/>
        <v>catc</v>
      </c>
    </row>
    <row r="998" spans="2:46" x14ac:dyDescent="0.25">
      <c r="B998" t="str">
        <f>("287767")</f>
        <v>287767</v>
      </c>
      <c r="C998" t="str">
        <f>("W00003068")</f>
        <v>W00003068</v>
      </c>
      <c r="D998" t="str">
        <f>("The reality of management /")</f>
        <v>The reality of management /</v>
      </c>
      <c r="E998" t="str">
        <f>("Stewart, Rosemary.")</f>
        <v>Stewart, Rosemary.</v>
      </c>
      <c r="F998" t="str">
        <f>("Butterworth-Heinemann,")</f>
        <v>Butterworth-Heinemann,</v>
      </c>
      <c r="G998" t="str">
        <f>("3rd ed.")</f>
        <v>3rd ed.</v>
      </c>
      <c r="H998" t="str">
        <f t="shared" si="406"/>
        <v>圖書 book</v>
      </c>
      <c r="I998" t="str">
        <f>("HD31 S851 1999")</f>
        <v>HD31 S851 1999</v>
      </c>
      <c r="J998" t="str">
        <f>("0750642890")</f>
        <v>0750642890</v>
      </c>
      <c r="K998" t="str">
        <f t="shared" si="407"/>
        <v>0</v>
      </c>
      <c r="L998" t="str">
        <f>("2001/10/10 00:00:00")</f>
        <v>2001/10/10 00:00:00</v>
      </c>
      <c r="M998" t="str">
        <f>("2018/08/11 13:31:51")</f>
        <v>2018/08/11 13:31:51</v>
      </c>
      <c r="N998" t="str">
        <f>("1999")</f>
        <v>1999</v>
      </c>
      <c r="O998" t="str">
        <f t="shared" si="415"/>
        <v>4F西文書庫 4F Western Language Books</v>
      </c>
      <c r="P998" t="s">
        <v>64</v>
      </c>
      <c r="W998" t="str">
        <f t="shared" si="400"/>
        <v>美國國會圖書分類法</v>
      </c>
      <c r="Y998" t="str">
        <f>("HD31")</f>
        <v>HD31</v>
      </c>
      <c r="Z998" t="str">
        <f>("2018/08/11 13:31:51")</f>
        <v>2018/08/11 13:31:51</v>
      </c>
      <c r="AA998" t="str">
        <f t="shared" si="410"/>
        <v>catc</v>
      </c>
      <c r="AC998" t="str">
        <f>("S851")</f>
        <v>S851</v>
      </c>
      <c r="AE998" t="str">
        <f t="shared" si="416"/>
        <v>c.1</v>
      </c>
      <c r="AF998" t="str">
        <f t="shared" si="417"/>
        <v>1.可借圖書</v>
      </c>
      <c r="AG998" t="str">
        <f t="shared" si="418"/>
        <v>在架</v>
      </c>
      <c r="AI998" t="s">
        <v>65</v>
      </c>
      <c r="AK998" t="str">
        <f t="shared" si="413"/>
        <v>一般(Normal)</v>
      </c>
      <c r="AO998" t="s">
        <v>65</v>
      </c>
      <c r="AS998" t="str">
        <f>("1999.")</f>
        <v>1999.</v>
      </c>
      <c r="AT998" t="str">
        <f t="shared" si="414"/>
        <v>catc</v>
      </c>
    </row>
    <row r="999" spans="2:46" x14ac:dyDescent="0.25">
      <c r="B999" t="str">
        <f>("287762")</f>
        <v>287762</v>
      </c>
      <c r="C999" t="str">
        <f>("W00003069")</f>
        <v>W00003069</v>
      </c>
      <c r="D999" t="str">
        <f>("The road to manufacturing success :common sense throughput solutions for small business /")</f>
        <v>The road to manufacturing success :common sense throughput solutions for small business /</v>
      </c>
      <c r="E999" t="str">
        <f>("Lilly, Richard T.")</f>
        <v>Lilly, Richard T.</v>
      </c>
      <c r="F999" t="str">
        <f>("St. Lucie Press,")</f>
        <v>St. Lucie Press,</v>
      </c>
      <c r="H999" t="str">
        <f t="shared" si="406"/>
        <v>圖書 book</v>
      </c>
      <c r="I999" t="str">
        <f>("HD9720.5 L729 2001")</f>
        <v>HD9720.5 L729 2001</v>
      </c>
      <c r="J999" t="str">
        <f>("1574442996")</f>
        <v>1574442996</v>
      </c>
      <c r="K999" t="str">
        <f t="shared" si="407"/>
        <v>0</v>
      </c>
      <c r="L999" t="str">
        <f>("2001/10/10 00:00:00")</f>
        <v>2001/10/10 00:00:00</v>
      </c>
      <c r="M999" t="str">
        <f>("2018/08/11 13:31:50")</f>
        <v>2018/08/11 13:31:50</v>
      </c>
      <c r="N999" t="str">
        <f>("2001")</f>
        <v>2001</v>
      </c>
      <c r="O999" t="str">
        <f t="shared" si="415"/>
        <v>4F西文書庫 4F Western Language Books</v>
      </c>
      <c r="P999" t="s">
        <v>64</v>
      </c>
      <c r="W999" t="str">
        <f t="shared" si="400"/>
        <v>美國國會圖書分類法</v>
      </c>
      <c r="Y999" t="str">
        <f>("HD9720.5")</f>
        <v>HD9720.5</v>
      </c>
      <c r="Z999" t="str">
        <f>("2018/08/11 13:31:50")</f>
        <v>2018/08/11 13:31:50</v>
      </c>
      <c r="AA999" t="str">
        <f t="shared" si="410"/>
        <v>catc</v>
      </c>
      <c r="AC999" t="str">
        <f>("L729")</f>
        <v>L729</v>
      </c>
      <c r="AE999" t="str">
        <f t="shared" si="416"/>
        <v>c.1</v>
      </c>
      <c r="AF999" t="str">
        <f t="shared" si="417"/>
        <v>1.可借圖書</v>
      </c>
      <c r="AG999" t="str">
        <f t="shared" si="418"/>
        <v>在架</v>
      </c>
      <c r="AI999" t="s">
        <v>65</v>
      </c>
      <c r="AK999" t="str">
        <f t="shared" si="413"/>
        <v>一般(Normal)</v>
      </c>
      <c r="AO999" t="s">
        <v>65</v>
      </c>
      <c r="AS999" t="str">
        <f>("c2001.")</f>
        <v>c2001.</v>
      </c>
      <c r="AT999" t="str">
        <f t="shared" si="414"/>
        <v>catc</v>
      </c>
    </row>
    <row r="1000" spans="2:46" x14ac:dyDescent="0.25">
      <c r="B1000" t="str">
        <f>("287482")</f>
        <v>287482</v>
      </c>
      <c r="C1000" t="str">
        <f>("W00003070")</f>
        <v>W00003070</v>
      </c>
      <c r="D1000" t="str">
        <f>("The Savage truth on money /")</f>
        <v>The Savage truth on money /</v>
      </c>
      <c r="E1000" t="str">
        <f>("Savage, Terry.")</f>
        <v>Savage, Terry.</v>
      </c>
      <c r="F1000" t="str">
        <f>("Wiley,")</f>
        <v>Wiley,</v>
      </c>
      <c r="H1000" t="str">
        <f t="shared" si="406"/>
        <v>圖書 book</v>
      </c>
      <c r="I1000" t="str">
        <f>("HG179 S264 1999")</f>
        <v>HG179 S264 1999</v>
      </c>
      <c r="J1000" t="str">
        <f>("0471352292")</f>
        <v>0471352292</v>
      </c>
      <c r="K1000" t="str">
        <f t="shared" si="407"/>
        <v>0</v>
      </c>
      <c r="L1000" t="str">
        <f>("2001/10/10 00:00:00")</f>
        <v>2001/10/10 00:00:00</v>
      </c>
      <c r="M1000" t="str">
        <f>("2018/08/11 13:31:50")</f>
        <v>2018/08/11 13:31:50</v>
      </c>
      <c r="N1000" t="str">
        <f>("1999")</f>
        <v>1999</v>
      </c>
      <c r="O1000" t="str">
        <f t="shared" si="415"/>
        <v>4F西文書庫 4F Western Language Books</v>
      </c>
      <c r="P1000" t="s">
        <v>64</v>
      </c>
      <c r="W1000" t="str">
        <f t="shared" si="400"/>
        <v>美國國會圖書分類法</v>
      </c>
      <c r="Y1000" t="str">
        <f>("HG179")</f>
        <v>HG179</v>
      </c>
      <c r="Z1000" t="str">
        <f>("2018/08/11 13:31:19")</f>
        <v>2018/08/11 13:31:19</v>
      </c>
      <c r="AA1000" t="str">
        <f t="shared" si="410"/>
        <v>catc</v>
      </c>
      <c r="AC1000" t="str">
        <f>("S264")</f>
        <v>S264</v>
      </c>
      <c r="AE1000" t="str">
        <f t="shared" si="416"/>
        <v>c.1</v>
      </c>
      <c r="AF1000" t="str">
        <f t="shared" si="417"/>
        <v>1.可借圖書</v>
      </c>
      <c r="AG1000" t="str">
        <f t="shared" si="418"/>
        <v>在架</v>
      </c>
      <c r="AI1000" t="s">
        <v>65</v>
      </c>
      <c r="AK1000" t="str">
        <f t="shared" si="413"/>
        <v>一般(Normal)</v>
      </c>
      <c r="AO1000" t="s">
        <v>65</v>
      </c>
      <c r="AS1000" t="str">
        <f>("c1999.")</f>
        <v>c1999.</v>
      </c>
      <c r="AT1000" t="str">
        <f t="shared" si="414"/>
        <v>catc</v>
      </c>
    </row>
    <row r="1001" spans="2:46" x14ac:dyDescent="0.25">
      <c r="B1001" t="str">
        <f>("290491")</f>
        <v>290491</v>
      </c>
      <c r="C1001" t="str">
        <f>("W00003071")</f>
        <v>W00003071</v>
      </c>
      <c r="D1001" t="str">
        <f>("The value growers :achieving competitive advantage through long-term growth and profits /")</f>
        <v>The value growers :achieving competitive advantage through long-term growth and profits /</v>
      </c>
      <c r="E1001" t="str">
        <f>("McGrath, James,1947-")</f>
        <v>McGrath, James,1947-</v>
      </c>
      <c r="F1001" t="str">
        <f>("McGraw-Hill,")</f>
        <v>McGraw-Hill,</v>
      </c>
      <c r="H1001" t="str">
        <f t="shared" si="406"/>
        <v>圖書 book</v>
      </c>
      <c r="I1001" t="str">
        <f>("HG4028.V3 V215 2001")</f>
        <v>HG4028.V3 V215 2001</v>
      </c>
      <c r="J1001" t="str">
        <f>("0071364404")</f>
        <v>0071364404</v>
      </c>
      <c r="K1001" t="str">
        <f t="shared" si="407"/>
        <v>0</v>
      </c>
      <c r="L1001" t="str">
        <f>("2001/10/16 00:00:00")</f>
        <v>2001/10/16 00:00:00</v>
      </c>
      <c r="M1001" t="str">
        <f>("2018/08/11 13:36:31")</f>
        <v>2018/08/11 13:36:31</v>
      </c>
      <c r="N1001" t="str">
        <f>("2001")</f>
        <v>2001</v>
      </c>
      <c r="O1001" t="str">
        <f t="shared" si="415"/>
        <v>4F西文書庫 4F Western Language Books</v>
      </c>
      <c r="P1001" t="s">
        <v>64</v>
      </c>
      <c r="W1001" t="str">
        <f t="shared" si="400"/>
        <v>美國國會圖書分類法</v>
      </c>
      <c r="Y1001" t="str">
        <f>("HG4028.V3")</f>
        <v>HG4028.V3</v>
      </c>
      <c r="Z1001" t="str">
        <f>("2018/08/11 13:36:31")</f>
        <v>2018/08/11 13:36:31</v>
      </c>
      <c r="AA1001" t="str">
        <f t="shared" si="410"/>
        <v>catc</v>
      </c>
      <c r="AC1001" t="str">
        <f>("V215")</f>
        <v>V215</v>
      </c>
      <c r="AE1001" t="str">
        <f t="shared" si="416"/>
        <v>c.1</v>
      </c>
      <c r="AF1001" t="str">
        <f t="shared" si="417"/>
        <v>1.可借圖書</v>
      </c>
      <c r="AG1001" t="str">
        <f t="shared" si="418"/>
        <v>在架</v>
      </c>
      <c r="AI1001" t="s">
        <v>65</v>
      </c>
      <c r="AK1001" t="str">
        <f t="shared" si="413"/>
        <v>一般(Normal)</v>
      </c>
      <c r="AO1001" t="s">
        <v>65</v>
      </c>
      <c r="AS1001" t="str">
        <f>("c2001.")</f>
        <v>c2001.</v>
      </c>
      <c r="AT1001" t="str">
        <f t="shared" si="414"/>
        <v>catc</v>
      </c>
    </row>
    <row r="1002" spans="2:46" x14ac:dyDescent="0.25">
      <c r="B1002" t="str">
        <f>("287761")</f>
        <v>287761</v>
      </c>
      <c r="C1002" t="str">
        <f>("W00003072")</f>
        <v>W00003072</v>
      </c>
      <c r="D1002" t="str">
        <f>("Trade options online /")</f>
        <v>Trade options online /</v>
      </c>
      <c r="E1002" t="str">
        <f>("Fontanills, George.")</f>
        <v>Fontanills, George.</v>
      </c>
      <c r="F1002" t="str">
        <f>("Wiley,")</f>
        <v>Wiley,</v>
      </c>
      <c r="H1002" t="str">
        <f t="shared" si="406"/>
        <v>圖書 book</v>
      </c>
      <c r="I1002" t="str">
        <f>("HG6024.A3 F681 2000")</f>
        <v>HG6024.A3 F681 2000</v>
      </c>
      <c r="J1002" t="str">
        <f>("0471359386")</f>
        <v>0471359386</v>
      </c>
      <c r="K1002" t="str">
        <f t="shared" si="407"/>
        <v>0</v>
      </c>
      <c r="L1002" t="str">
        <f t="shared" ref="L1002:L1009" si="419">("2001/10/10 00:00:00")</f>
        <v>2001/10/10 00:00:00</v>
      </c>
      <c r="M1002" t="str">
        <f>("2018/08/11 13:31:50")</f>
        <v>2018/08/11 13:31:50</v>
      </c>
      <c r="N1002" t="str">
        <f>("2000")</f>
        <v>2000</v>
      </c>
      <c r="O1002" t="str">
        <f t="shared" si="415"/>
        <v>4F西文書庫 4F Western Language Books</v>
      </c>
      <c r="P1002" t="s">
        <v>64</v>
      </c>
      <c r="W1002" t="str">
        <f t="shared" si="400"/>
        <v>美國國會圖書分類法</v>
      </c>
      <c r="Y1002" t="str">
        <f>("HG6024.A3")</f>
        <v>HG6024.A3</v>
      </c>
      <c r="Z1002" t="str">
        <f>("2018/08/11 13:31:50")</f>
        <v>2018/08/11 13:31:50</v>
      </c>
      <c r="AA1002" t="str">
        <f t="shared" si="410"/>
        <v>catc</v>
      </c>
      <c r="AC1002" t="str">
        <f>("F681")</f>
        <v>F681</v>
      </c>
      <c r="AE1002" t="str">
        <f t="shared" si="416"/>
        <v>c.1</v>
      </c>
      <c r="AF1002" t="str">
        <f t="shared" si="417"/>
        <v>1.可借圖書</v>
      </c>
      <c r="AG1002" t="str">
        <f t="shared" si="418"/>
        <v>在架</v>
      </c>
      <c r="AI1002" t="s">
        <v>65</v>
      </c>
      <c r="AK1002" t="str">
        <f t="shared" si="413"/>
        <v>一般(Normal)</v>
      </c>
      <c r="AO1002" t="s">
        <v>65</v>
      </c>
      <c r="AS1002" t="str">
        <f>("c2000.")</f>
        <v>c2000.</v>
      </c>
      <c r="AT1002" t="str">
        <f t="shared" si="414"/>
        <v>catc</v>
      </c>
    </row>
    <row r="1003" spans="2:46" x14ac:dyDescent="0.25">
      <c r="B1003" t="str">
        <f>("287740")</f>
        <v>287740</v>
      </c>
      <c r="C1003" t="str">
        <f>("W00003073")</f>
        <v>W00003073</v>
      </c>
      <c r="D1003" t="str">
        <f>("The wealth equation /")</f>
        <v>The wealth equation /</v>
      </c>
      <c r="E1003" t="str">
        <f>("Tanous, Peter.")</f>
        <v>Tanous, Peter.</v>
      </c>
      <c r="F1003" t="str">
        <f>("New York Institute of Finance,")</f>
        <v>New York Institute of Finance,</v>
      </c>
      <c r="H1003" t="str">
        <f t="shared" si="406"/>
        <v>圖書 book</v>
      </c>
      <c r="I1003" t="str">
        <f>("HG4527 T167 1999")</f>
        <v>HG4527 T167 1999</v>
      </c>
      <c r="J1003" t="str">
        <f>("0735200688")</f>
        <v>0735200688</v>
      </c>
      <c r="K1003" t="str">
        <f t="shared" si="407"/>
        <v>0</v>
      </c>
      <c r="L1003" t="str">
        <f t="shared" si="419"/>
        <v>2001/10/10 00:00:00</v>
      </c>
      <c r="M1003" t="str">
        <f>("2018/08/11 13:31:50")</f>
        <v>2018/08/11 13:31:50</v>
      </c>
      <c r="N1003" t="str">
        <f>("1999")</f>
        <v>1999</v>
      </c>
      <c r="O1003" t="str">
        <f t="shared" si="415"/>
        <v>4F西文書庫 4F Western Language Books</v>
      </c>
      <c r="P1003" t="s">
        <v>64</v>
      </c>
      <c r="W1003" t="str">
        <f t="shared" si="400"/>
        <v>美國國會圖書分類法</v>
      </c>
      <c r="Y1003" t="str">
        <f>("HG4527")</f>
        <v>HG4527</v>
      </c>
      <c r="Z1003" t="str">
        <f>("2018/08/11 13:31:49")</f>
        <v>2018/08/11 13:31:49</v>
      </c>
      <c r="AA1003" t="str">
        <f t="shared" si="410"/>
        <v>catc</v>
      </c>
      <c r="AC1003" t="str">
        <f>("T167")</f>
        <v>T167</v>
      </c>
      <c r="AE1003" t="str">
        <f t="shared" si="416"/>
        <v>c.1</v>
      </c>
      <c r="AF1003" t="str">
        <f t="shared" si="417"/>
        <v>1.可借圖書</v>
      </c>
      <c r="AG1003" t="str">
        <f t="shared" si="418"/>
        <v>在架</v>
      </c>
      <c r="AI1003" t="s">
        <v>65</v>
      </c>
      <c r="AK1003" t="str">
        <f t="shared" si="413"/>
        <v>一般(Normal)</v>
      </c>
      <c r="AO1003" t="s">
        <v>65</v>
      </c>
      <c r="AS1003" t="str">
        <f>("c1999.")</f>
        <v>c1999.</v>
      </c>
      <c r="AT1003" t="str">
        <f t="shared" si="414"/>
        <v>catc</v>
      </c>
    </row>
    <row r="1004" spans="2:46" x14ac:dyDescent="0.25">
      <c r="B1004" t="str">
        <f>("288163")</f>
        <v>288163</v>
      </c>
      <c r="C1004" t="str">
        <f>("W00003074")</f>
        <v>W00003074</v>
      </c>
      <c r="D1004" t="str">
        <f>("Wizards of Wall Street : ")</f>
        <v xml:space="preserve">Wizards of Wall Street : </v>
      </c>
      <c r="E1004" t="str">
        <f>("Kazanjian, Kirk.")</f>
        <v>Kazanjian, Kirk.</v>
      </c>
      <c r="F1004" t="str">
        <f>("New York Institute of Finance, ")</f>
        <v xml:space="preserve">New York Institute of Finance, </v>
      </c>
      <c r="H1004" t="str">
        <f t="shared" si="406"/>
        <v>圖書 book</v>
      </c>
      <c r="I1004" t="str">
        <f>("HG4930 K11 2000 c.3")</f>
        <v>HG4930 K11 2000 c.3</v>
      </c>
      <c r="J1004" t="str">
        <f>("0735201544")</f>
        <v>0735201544</v>
      </c>
      <c r="K1004" t="str">
        <f t="shared" si="407"/>
        <v>0</v>
      </c>
      <c r="L1004" t="str">
        <f t="shared" si="419"/>
        <v>2001/10/10 00:00:00</v>
      </c>
      <c r="M1004" t="str">
        <f>("2018/08/11 13:32:29")</f>
        <v>2018/08/11 13:32:29</v>
      </c>
      <c r="N1004" t="str">
        <f>("2000")</f>
        <v>2000</v>
      </c>
      <c r="O1004" t="str">
        <f>("罕用書庫1-洽櫃台填單 Upon-Request Collection1 fil")</f>
        <v>罕用書庫1-洽櫃台填單 Upon-Request Collection1 fil</v>
      </c>
      <c r="P1004" t="s">
        <v>64</v>
      </c>
      <c r="S1004" t="str">
        <f>("viii, 359 p. : ")</f>
        <v xml:space="preserve">viii, 359 p. : </v>
      </c>
      <c r="U1004" t="str">
        <f>("24 cm.")</f>
        <v>24 cm.</v>
      </c>
      <c r="W1004" t="str">
        <f t="shared" si="400"/>
        <v>美國國會圖書分類法</v>
      </c>
      <c r="Y1004" t="str">
        <f>("HG4930")</f>
        <v>HG4930</v>
      </c>
      <c r="Z1004" t="str">
        <f>("2018/08/11 13:32:29")</f>
        <v>2018/08/11 13:32:29</v>
      </c>
      <c r="AA1004" t="str">
        <f t="shared" si="410"/>
        <v>catc</v>
      </c>
      <c r="AC1004" t="str">
        <f>("K11")</f>
        <v>K11</v>
      </c>
      <c r="AE1004" t="str">
        <f>("c.3")</f>
        <v>c.3</v>
      </c>
      <c r="AF1004" t="str">
        <f>("不流通")</f>
        <v>不流通</v>
      </c>
      <c r="AG1004" t="str">
        <f>("報銷中")</f>
        <v>報銷中</v>
      </c>
      <c r="AI1004" t="s">
        <v>65</v>
      </c>
      <c r="AK1004" t="str">
        <f t="shared" si="413"/>
        <v>一般(Normal)</v>
      </c>
      <c r="AO1004" t="s">
        <v>65</v>
      </c>
      <c r="AS1004" t="str">
        <f>("2000.")</f>
        <v>2000.</v>
      </c>
      <c r="AT1004" t="str">
        <f t="shared" si="414"/>
        <v>catc</v>
      </c>
    </row>
    <row r="1005" spans="2:46" x14ac:dyDescent="0.25">
      <c r="B1005" t="str">
        <f>("287802")</f>
        <v>287802</v>
      </c>
      <c r="C1005" t="str">
        <f>("W00003075")</f>
        <v>W00003075</v>
      </c>
      <c r="D1005" t="str">
        <f>("Introduction to environmental economics /")</f>
        <v>Introduction to environmental economics /</v>
      </c>
      <c r="E1005" t="str">
        <f>("Hanley, Nick.")</f>
        <v>Hanley, Nick.</v>
      </c>
      <c r="F1005" t="str">
        <f>("Oxford University Press,")</f>
        <v>Oxford University Press,</v>
      </c>
      <c r="H1005" t="str">
        <f t="shared" si="406"/>
        <v>圖書 book</v>
      </c>
      <c r="I1005" t="str">
        <f>("HC79.E5 H241 2001")</f>
        <v>HC79.E5 H241 2001</v>
      </c>
      <c r="J1005" t="str">
        <f>("0198775954")</f>
        <v>0198775954</v>
      </c>
      <c r="K1005" t="str">
        <f t="shared" si="407"/>
        <v>0</v>
      </c>
      <c r="L1005" t="str">
        <f t="shared" si="419"/>
        <v>2001/10/10 00:00:00</v>
      </c>
      <c r="M1005" t="str">
        <f>("2018/08/11 13:31:54")</f>
        <v>2018/08/11 13:31:54</v>
      </c>
      <c r="N1005" t="str">
        <f>("2001")</f>
        <v>2001</v>
      </c>
      <c r="O1005" t="str">
        <f t="shared" ref="O1005:O1018" si="420">("4F西文書庫 4F Western Language Books")</f>
        <v>4F西文書庫 4F Western Language Books</v>
      </c>
      <c r="P1005" t="s">
        <v>64</v>
      </c>
      <c r="W1005" t="str">
        <f t="shared" si="400"/>
        <v>美國國會圖書分類法</v>
      </c>
      <c r="Y1005" t="str">
        <f>("HC79.E5")</f>
        <v>HC79.E5</v>
      </c>
      <c r="Z1005" t="str">
        <f>("2018/08/11 13:31:54")</f>
        <v>2018/08/11 13:31:54</v>
      </c>
      <c r="AA1005" t="str">
        <f t="shared" si="410"/>
        <v>catc</v>
      </c>
      <c r="AC1005" t="str">
        <f>("H241")</f>
        <v>H241</v>
      </c>
      <c r="AE1005" t="str">
        <f t="shared" ref="AE1005:AE1068" si="421">("c.1")</f>
        <v>c.1</v>
      </c>
      <c r="AF1005" t="str">
        <f t="shared" ref="AF1005:AF1018" si="422">("1.可借圖書")</f>
        <v>1.可借圖書</v>
      </c>
      <c r="AG1005" t="str">
        <f t="shared" ref="AG1005:AG1018" si="423">("在架")</f>
        <v>在架</v>
      </c>
      <c r="AI1005" t="s">
        <v>65</v>
      </c>
      <c r="AK1005" t="str">
        <f t="shared" si="413"/>
        <v>一般(Normal)</v>
      </c>
      <c r="AO1005" t="s">
        <v>65</v>
      </c>
      <c r="AS1005" t="str">
        <f>("2001.")</f>
        <v>2001.</v>
      </c>
      <c r="AT1005" t="str">
        <f t="shared" si="414"/>
        <v>catc</v>
      </c>
    </row>
    <row r="1006" spans="2:46" x14ac:dyDescent="0.25">
      <c r="B1006" t="str">
        <f>("287823")</f>
        <v>287823</v>
      </c>
      <c r="C1006" t="str">
        <f>("W00003076")</f>
        <v>W00003076</v>
      </c>
      <c r="D1006" t="str">
        <f>("Budgeting for non-financial managers :how to master and maintain effective budgets /")</f>
        <v>Budgeting for non-financial managers :how to master and maintain effective budgets /</v>
      </c>
      <c r="E1006" t="str">
        <f>("Maitland, Iain.")</f>
        <v>Maitland, Iain.</v>
      </c>
      <c r="F1006" t="str">
        <f>("Prentice Hall,")</f>
        <v>Prentice Hall,</v>
      </c>
      <c r="H1006" t="str">
        <f t="shared" si="406"/>
        <v>圖書 book</v>
      </c>
      <c r="I1006" t="str">
        <f>("HG4028.B8 M232 2000")</f>
        <v>HG4028.B8 M232 2000</v>
      </c>
      <c r="J1006" t="str">
        <f>("0273644947")</f>
        <v>0273644947</v>
      </c>
      <c r="K1006" t="str">
        <f t="shared" si="407"/>
        <v>0</v>
      </c>
      <c r="L1006" t="str">
        <f t="shared" si="419"/>
        <v>2001/10/10 00:00:00</v>
      </c>
      <c r="M1006" t="str">
        <f>("2018/08/11 13:31:57")</f>
        <v>2018/08/11 13:31:57</v>
      </c>
      <c r="N1006" t="str">
        <f>("2000")</f>
        <v>2000</v>
      </c>
      <c r="O1006" t="str">
        <f t="shared" si="420"/>
        <v>4F西文書庫 4F Western Language Books</v>
      </c>
      <c r="P1006" t="s">
        <v>64</v>
      </c>
      <c r="W1006" t="str">
        <f t="shared" si="400"/>
        <v>美國國會圖書分類法</v>
      </c>
      <c r="Y1006" t="str">
        <f>("HG4028.B8")</f>
        <v>HG4028.B8</v>
      </c>
      <c r="Z1006" t="str">
        <f>("2018/08/11 13:31:57")</f>
        <v>2018/08/11 13:31:57</v>
      </c>
      <c r="AA1006" t="str">
        <f t="shared" si="410"/>
        <v>catc</v>
      </c>
      <c r="AC1006" t="str">
        <f>("M232")</f>
        <v>M232</v>
      </c>
      <c r="AE1006" t="str">
        <f t="shared" si="421"/>
        <v>c.1</v>
      </c>
      <c r="AF1006" t="str">
        <f t="shared" si="422"/>
        <v>1.可借圖書</v>
      </c>
      <c r="AG1006" t="str">
        <f t="shared" si="423"/>
        <v>在架</v>
      </c>
      <c r="AI1006" t="s">
        <v>65</v>
      </c>
      <c r="AK1006" t="str">
        <f t="shared" si="413"/>
        <v>一般(Normal)</v>
      </c>
      <c r="AO1006" t="s">
        <v>65</v>
      </c>
      <c r="AS1006" t="str">
        <f>("c2000.")</f>
        <v>c2000.</v>
      </c>
      <c r="AT1006" t="str">
        <f t="shared" si="414"/>
        <v>catc</v>
      </c>
    </row>
    <row r="1007" spans="2:46" x14ac:dyDescent="0.25">
      <c r="B1007" t="str">
        <f>("287795")</f>
        <v>287795</v>
      </c>
      <c r="C1007" t="str">
        <f>("W00003077")</f>
        <v>W00003077</v>
      </c>
      <c r="D1007" t="str">
        <f>("Direct and interactive marketing /")</f>
        <v>Direct and interactive marketing /</v>
      </c>
      <c r="E1007" t="str">
        <f>("Sargeant, Adrian.")</f>
        <v>Sargeant, Adrian.</v>
      </c>
      <c r="F1007" t="str">
        <f>("Oxford University Press,")</f>
        <v>Oxford University Press,</v>
      </c>
      <c r="H1007" t="str">
        <f t="shared" si="406"/>
        <v>圖書 book</v>
      </c>
      <c r="I1007" t="str">
        <f>("HF5415.126 S245 2001")</f>
        <v>HF5415.126 S245 2001</v>
      </c>
      <c r="J1007" t="str">
        <f>("0198782535")</f>
        <v>0198782535</v>
      </c>
      <c r="K1007" t="str">
        <f t="shared" si="407"/>
        <v>0</v>
      </c>
      <c r="L1007" t="str">
        <f t="shared" si="419"/>
        <v>2001/10/10 00:00:00</v>
      </c>
      <c r="M1007" t="str">
        <f>("2018/08/11 13:31:55")</f>
        <v>2018/08/11 13:31:55</v>
      </c>
      <c r="N1007" t="str">
        <f>("2001")</f>
        <v>2001</v>
      </c>
      <c r="O1007" t="str">
        <f t="shared" si="420"/>
        <v>4F西文書庫 4F Western Language Books</v>
      </c>
      <c r="P1007" t="s">
        <v>64</v>
      </c>
      <c r="W1007" t="str">
        <f t="shared" si="400"/>
        <v>美國國會圖書分類法</v>
      </c>
      <c r="Y1007" t="str">
        <f>("HF5415.126")</f>
        <v>HF5415.126</v>
      </c>
      <c r="Z1007" t="str">
        <f>("2018/08/11 13:31:55")</f>
        <v>2018/08/11 13:31:55</v>
      </c>
      <c r="AA1007" t="str">
        <f t="shared" si="410"/>
        <v>catc</v>
      </c>
      <c r="AC1007" t="str">
        <f>("S245")</f>
        <v>S245</v>
      </c>
      <c r="AE1007" t="str">
        <f t="shared" si="421"/>
        <v>c.1</v>
      </c>
      <c r="AF1007" t="str">
        <f t="shared" si="422"/>
        <v>1.可借圖書</v>
      </c>
      <c r="AG1007" t="str">
        <f t="shared" si="423"/>
        <v>在架</v>
      </c>
      <c r="AI1007" t="s">
        <v>65</v>
      </c>
      <c r="AK1007" t="str">
        <f t="shared" si="413"/>
        <v>一般(Normal)</v>
      </c>
      <c r="AO1007" t="s">
        <v>65</v>
      </c>
      <c r="AS1007" t="str">
        <f>("2001.")</f>
        <v>2001.</v>
      </c>
      <c r="AT1007" t="str">
        <f t="shared" si="414"/>
        <v>catc</v>
      </c>
    </row>
    <row r="1008" spans="2:46" x14ac:dyDescent="0.25">
      <c r="B1008" t="str">
        <f>("287797")</f>
        <v>287797</v>
      </c>
      <c r="C1008" t="str">
        <f>("W00003078")</f>
        <v>W00003078</v>
      </c>
      <c r="D1008" t="str">
        <f>("The Financial Times guide to strategy :how to create and deliver a useful strategy /")</f>
        <v>The Financial Times guide to strategy :how to create and deliver a useful strategy /</v>
      </c>
      <c r="E1008" t="str">
        <f>("Koch, Richard,1950-")</f>
        <v>Koch, Richard,1950-</v>
      </c>
      <c r="F1008" t="str">
        <f>("Financial Times Prentice Hall,")</f>
        <v>Financial Times Prentice Hall,</v>
      </c>
      <c r="G1008" t="str">
        <f>("2nd ed.")</f>
        <v>2nd ed.</v>
      </c>
      <c r="H1008" t="str">
        <f t="shared" si="406"/>
        <v>圖書 book</v>
      </c>
      <c r="I1008" t="str">
        <f>("HD30.28 K76 2000")</f>
        <v>HD30.28 K76 2000</v>
      </c>
      <c r="J1008" t="str">
        <f>("027365022X")</f>
        <v>027365022X</v>
      </c>
      <c r="K1008" t="str">
        <f t="shared" si="407"/>
        <v>0</v>
      </c>
      <c r="L1008" t="str">
        <f t="shared" si="419"/>
        <v>2001/10/10 00:00:00</v>
      </c>
      <c r="M1008" t="str">
        <f>("2018/08/11 13:31:55")</f>
        <v>2018/08/11 13:31:55</v>
      </c>
      <c r="N1008" t="str">
        <f>("2000")</f>
        <v>2000</v>
      </c>
      <c r="O1008" t="str">
        <f t="shared" si="420"/>
        <v>4F西文書庫 4F Western Language Books</v>
      </c>
      <c r="P1008" t="s">
        <v>64</v>
      </c>
      <c r="W1008" t="str">
        <f t="shared" si="400"/>
        <v>美國國會圖書分類法</v>
      </c>
      <c r="Y1008" t="str">
        <f>("HD30.28")</f>
        <v>HD30.28</v>
      </c>
      <c r="Z1008" t="str">
        <f>("2018/08/11 13:31:55")</f>
        <v>2018/08/11 13:31:55</v>
      </c>
      <c r="AA1008" t="str">
        <f t="shared" si="410"/>
        <v>catc</v>
      </c>
      <c r="AC1008" t="str">
        <f>("K76")</f>
        <v>K76</v>
      </c>
      <c r="AE1008" t="str">
        <f t="shared" si="421"/>
        <v>c.1</v>
      </c>
      <c r="AF1008" t="str">
        <f t="shared" si="422"/>
        <v>1.可借圖書</v>
      </c>
      <c r="AG1008" t="str">
        <f t="shared" si="423"/>
        <v>在架</v>
      </c>
      <c r="AI1008" t="s">
        <v>65</v>
      </c>
      <c r="AK1008" t="str">
        <f t="shared" si="413"/>
        <v>一般(Normal)</v>
      </c>
      <c r="AO1008" t="s">
        <v>65</v>
      </c>
      <c r="AS1008" t="str">
        <f>("2000.")</f>
        <v>2000.</v>
      </c>
      <c r="AT1008" t="str">
        <f t="shared" si="414"/>
        <v>catc</v>
      </c>
    </row>
    <row r="1009" spans="2:46" x14ac:dyDescent="0.25">
      <c r="B1009" t="str">
        <f>("287833")</f>
        <v>287833</v>
      </c>
      <c r="C1009" t="str">
        <f>("W00003079")</f>
        <v>W00003079</v>
      </c>
      <c r="D1009" t="str">
        <f>("First things first :how to manage your time for maximum performance /")</f>
        <v>First things first :how to manage your time for maximum performance /</v>
      </c>
      <c r="E1009" t="str">
        <f>("Forsyth, Patrick.")</f>
        <v>Forsyth, Patrick.</v>
      </c>
      <c r="F1009" t="str">
        <f>("Prentice Hall,")</f>
        <v>Prentice Hall,</v>
      </c>
      <c r="H1009" t="str">
        <f t="shared" si="406"/>
        <v>圖書 book</v>
      </c>
      <c r="I1009" t="str">
        <f>("HD69.T54 F735 2000")</f>
        <v>HD69.T54 F735 2000</v>
      </c>
      <c r="J1009" t="str">
        <f>("0273644866")</f>
        <v>0273644866</v>
      </c>
      <c r="K1009" t="str">
        <f t="shared" si="407"/>
        <v>0</v>
      </c>
      <c r="L1009" t="str">
        <f t="shared" si="419"/>
        <v>2001/10/10 00:00:00</v>
      </c>
      <c r="M1009" t="str">
        <f>("2018/08/11 13:31:58")</f>
        <v>2018/08/11 13:31:58</v>
      </c>
      <c r="N1009" t="str">
        <f>("2000")</f>
        <v>2000</v>
      </c>
      <c r="O1009" t="str">
        <f t="shared" si="420"/>
        <v>4F西文書庫 4F Western Language Books</v>
      </c>
      <c r="P1009" t="s">
        <v>64</v>
      </c>
      <c r="W1009" t="str">
        <f t="shared" si="400"/>
        <v>美國國會圖書分類法</v>
      </c>
      <c r="Y1009" t="str">
        <f>("HD69.T54")</f>
        <v>HD69.T54</v>
      </c>
      <c r="Z1009" t="str">
        <f>("2018/08/11 13:31:58")</f>
        <v>2018/08/11 13:31:58</v>
      </c>
      <c r="AA1009" t="str">
        <f t="shared" si="410"/>
        <v>catc</v>
      </c>
      <c r="AC1009" t="str">
        <f>("F735")</f>
        <v>F735</v>
      </c>
      <c r="AE1009" t="str">
        <f t="shared" si="421"/>
        <v>c.1</v>
      </c>
      <c r="AF1009" t="str">
        <f t="shared" si="422"/>
        <v>1.可借圖書</v>
      </c>
      <c r="AG1009" t="str">
        <f t="shared" si="423"/>
        <v>在架</v>
      </c>
      <c r="AI1009" t="s">
        <v>65</v>
      </c>
      <c r="AK1009" t="str">
        <f t="shared" si="413"/>
        <v>一般(Normal)</v>
      </c>
      <c r="AO1009" t="s">
        <v>65</v>
      </c>
      <c r="AS1009" t="str">
        <f>("2000.")</f>
        <v>2000.</v>
      </c>
      <c r="AT1009" t="str">
        <f t="shared" si="414"/>
        <v>catc</v>
      </c>
    </row>
    <row r="1010" spans="2:46" x14ac:dyDescent="0.25">
      <c r="B1010" t="str">
        <f>("290511")</f>
        <v>290511</v>
      </c>
      <c r="C1010" t="str">
        <f>("W00003080")</f>
        <v>W00003080</v>
      </c>
      <c r="D1010" t="str">
        <f>("Harvard business review on strategies for growth.")</f>
        <v>Harvard business review on strategies for growth.</v>
      </c>
      <c r="E1010" t="str">
        <f>("")</f>
        <v/>
      </c>
      <c r="F1010" t="str">
        <f>("Harvard Business School Press,")</f>
        <v>Harvard Business School Press,</v>
      </c>
      <c r="H1010" t="str">
        <f t="shared" si="406"/>
        <v>圖書 book</v>
      </c>
      <c r="I1010" t="str">
        <f>("HD2756 H339 1998")</f>
        <v>HD2756 H339 1998</v>
      </c>
      <c r="J1010" t="str">
        <f>("0875848850")</f>
        <v>0875848850</v>
      </c>
      <c r="K1010" t="str">
        <f t="shared" si="407"/>
        <v>0</v>
      </c>
      <c r="L1010" t="str">
        <f>("2001/10/16 00:00:00")</f>
        <v>2001/10/16 00:00:00</v>
      </c>
      <c r="M1010" t="str">
        <f>("2018/08/11 13:36:32")</f>
        <v>2018/08/11 13:36:32</v>
      </c>
      <c r="N1010" t="str">
        <f>("1998")</f>
        <v>1998</v>
      </c>
      <c r="O1010" t="str">
        <f t="shared" si="420"/>
        <v>4F西文書庫 4F Western Language Books</v>
      </c>
      <c r="P1010" t="s">
        <v>64</v>
      </c>
      <c r="W1010" t="str">
        <f t="shared" si="400"/>
        <v>美國國會圖書分類法</v>
      </c>
      <c r="Y1010" t="str">
        <f>("HD2756")</f>
        <v>HD2756</v>
      </c>
      <c r="Z1010" t="str">
        <f>("2018/08/11 13:36:32")</f>
        <v>2018/08/11 13:36:32</v>
      </c>
      <c r="AA1010" t="str">
        <f t="shared" si="410"/>
        <v>catc</v>
      </c>
      <c r="AC1010" t="str">
        <f>("H339")</f>
        <v>H339</v>
      </c>
      <c r="AE1010" t="str">
        <f t="shared" si="421"/>
        <v>c.1</v>
      </c>
      <c r="AF1010" t="str">
        <f t="shared" si="422"/>
        <v>1.可借圖書</v>
      </c>
      <c r="AG1010" t="str">
        <f t="shared" si="423"/>
        <v>在架</v>
      </c>
      <c r="AI1010" t="s">
        <v>65</v>
      </c>
      <c r="AK1010" t="str">
        <f t="shared" si="413"/>
        <v>一般(Normal)</v>
      </c>
      <c r="AO1010" t="s">
        <v>65</v>
      </c>
      <c r="AS1010" t="str">
        <f>("c1998.")</f>
        <v>c1998.</v>
      </c>
      <c r="AT1010" t="str">
        <f t="shared" si="414"/>
        <v>catc</v>
      </c>
    </row>
    <row r="1011" spans="2:46" x14ac:dyDescent="0.25">
      <c r="B1011" t="str">
        <f>("287803")</f>
        <v>287803</v>
      </c>
      <c r="C1011" t="str">
        <f>("W00003081")</f>
        <v>W00003081</v>
      </c>
      <c r="D1011" t="str">
        <f>("Intelligent decision support methods :the science of knowledge work /")</f>
        <v>Intelligent decision support methods :the science of knowledge work /</v>
      </c>
      <c r="E1011" t="str">
        <f>("Dhar, Vasant.")</f>
        <v>Dhar, Vasant.</v>
      </c>
      <c r="F1011" t="str">
        <f>("Prentice Hall,")</f>
        <v>Prentice Hall,</v>
      </c>
      <c r="H1011" t="str">
        <f t="shared" si="406"/>
        <v>圖書 book</v>
      </c>
      <c r="I1011" t="str">
        <f>("HD30.213 D533 1997")</f>
        <v>HD30.213 D533 1997</v>
      </c>
      <c r="J1011" t="str">
        <f>("0132773287")</f>
        <v>0132773287</v>
      </c>
      <c r="K1011" t="str">
        <f t="shared" si="407"/>
        <v>0</v>
      </c>
      <c r="L1011" t="str">
        <f>("2001/10/10 00:00:00")</f>
        <v>2001/10/10 00:00:00</v>
      </c>
      <c r="M1011" t="str">
        <f>("2018/08/11 13:31:54")</f>
        <v>2018/08/11 13:31:54</v>
      </c>
      <c r="N1011" t="str">
        <f>("1997")</f>
        <v>1997</v>
      </c>
      <c r="O1011" t="str">
        <f t="shared" si="420"/>
        <v>4F西文書庫 4F Western Language Books</v>
      </c>
      <c r="P1011" t="s">
        <v>64</v>
      </c>
      <c r="W1011" t="str">
        <f t="shared" si="400"/>
        <v>美國國會圖書分類法</v>
      </c>
      <c r="Y1011" t="str">
        <f>("HD30.213")</f>
        <v>HD30.213</v>
      </c>
      <c r="Z1011" t="str">
        <f>("2018/08/11 13:31:54")</f>
        <v>2018/08/11 13:31:54</v>
      </c>
      <c r="AA1011" t="str">
        <f t="shared" si="410"/>
        <v>catc</v>
      </c>
      <c r="AC1011" t="str">
        <f>("D533")</f>
        <v>D533</v>
      </c>
      <c r="AE1011" t="str">
        <f t="shared" si="421"/>
        <v>c.1</v>
      </c>
      <c r="AF1011" t="str">
        <f t="shared" si="422"/>
        <v>1.可借圖書</v>
      </c>
      <c r="AG1011" t="str">
        <f t="shared" si="423"/>
        <v>在架</v>
      </c>
      <c r="AI1011" t="s">
        <v>65</v>
      </c>
      <c r="AK1011" t="str">
        <f t="shared" si="413"/>
        <v>一般(Normal)</v>
      </c>
      <c r="AO1011" t="s">
        <v>65</v>
      </c>
      <c r="AS1011" t="str">
        <f>("c1997.")</f>
        <v>c1997.</v>
      </c>
      <c r="AT1011" t="str">
        <f t="shared" si="414"/>
        <v>catc</v>
      </c>
    </row>
    <row r="1012" spans="2:46" x14ac:dyDescent="0.25">
      <c r="B1012" t="str">
        <f>("287801")</f>
        <v>287801</v>
      </c>
      <c r="C1012" t="str">
        <f>("W00003082")</f>
        <v>W00003082</v>
      </c>
      <c r="D1012" t="str">
        <f>("Interviewing and salary negotiation :for job hunters, career changers, consultants, and freelancers /")</f>
        <v>Interviewing and salary negotiation :for job hunters, career changers, consultants, and freelancers /</v>
      </c>
      <c r="E1012" t="str">
        <f>("Wendleton, Kate.")</f>
        <v>Wendleton, Kate.</v>
      </c>
      <c r="F1012" t="str">
        <f>("Career Press,")</f>
        <v>Career Press,</v>
      </c>
      <c r="H1012" t="str">
        <f t="shared" si="406"/>
        <v>圖書 book</v>
      </c>
      <c r="I1012" t="str">
        <f>("HF5549.5.I6 W471 1999")</f>
        <v>HF5549.5.I6 W471 1999</v>
      </c>
      <c r="J1012" t="str">
        <f>("1564144348")</f>
        <v>1564144348</v>
      </c>
      <c r="K1012" t="str">
        <f t="shared" si="407"/>
        <v>0</v>
      </c>
      <c r="L1012" t="str">
        <f>("2001/10/10 00:00:00")</f>
        <v>2001/10/10 00:00:00</v>
      </c>
      <c r="M1012" t="str">
        <f>("2018/08/11 13:31:54")</f>
        <v>2018/08/11 13:31:54</v>
      </c>
      <c r="N1012" t="str">
        <f>("1999")</f>
        <v>1999</v>
      </c>
      <c r="O1012" t="str">
        <f t="shared" si="420"/>
        <v>4F西文書庫 4F Western Language Books</v>
      </c>
      <c r="P1012" t="s">
        <v>64</v>
      </c>
      <c r="W1012" t="str">
        <f t="shared" si="400"/>
        <v>美國國會圖書分類法</v>
      </c>
      <c r="Y1012" t="str">
        <f>("HF5549.5.I6")</f>
        <v>HF5549.5.I6</v>
      </c>
      <c r="Z1012" t="str">
        <f>("2018/08/11 13:31:54")</f>
        <v>2018/08/11 13:31:54</v>
      </c>
      <c r="AA1012" t="str">
        <f t="shared" si="410"/>
        <v>catc</v>
      </c>
      <c r="AC1012" t="str">
        <f>("W471")</f>
        <v>W471</v>
      </c>
      <c r="AE1012" t="str">
        <f t="shared" si="421"/>
        <v>c.1</v>
      </c>
      <c r="AF1012" t="str">
        <f t="shared" si="422"/>
        <v>1.可借圖書</v>
      </c>
      <c r="AG1012" t="str">
        <f t="shared" si="423"/>
        <v>在架</v>
      </c>
      <c r="AI1012" t="s">
        <v>65</v>
      </c>
      <c r="AK1012" t="str">
        <f t="shared" si="413"/>
        <v>一般(Normal)</v>
      </c>
      <c r="AO1012" t="s">
        <v>65</v>
      </c>
      <c r="AS1012" t="str">
        <f>("1999.")</f>
        <v>1999.</v>
      </c>
      <c r="AT1012" t="str">
        <f t="shared" si="414"/>
        <v>catc</v>
      </c>
    </row>
    <row r="1013" spans="2:46" x14ac:dyDescent="0.25">
      <c r="B1013" t="str">
        <f>("287817")</f>
        <v>287817</v>
      </c>
      <c r="C1013" t="str">
        <f>("W00003083")</f>
        <v>W00003083</v>
      </c>
      <c r="D1013" t="str">
        <f>("Leading the organisation to learn :the 10 levers for putting knowledge and learning to work /")</f>
        <v>Leading the organisation to learn :the 10 levers for putting knowledge and learning to work /</v>
      </c>
      <c r="E1013" t="str">
        <f>("Cope, Mick.")</f>
        <v>Cope, Mick.</v>
      </c>
      <c r="F1013" t="str">
        <f>("Financial Times,")</f>
        <v>Financial Times,</v>
      </c>
      <c r="H1013" t="str">
        <f t="shared" si="406"/>
        <v>圖書 book</v>
      </c>
      <c r="I1013" t="str">
        <f>("HD58.82 C782 1998")</f>
        <v>HD58.82 C782 1998</v>
      </c>
      <c r="J1013" t="str">
        <f>("0273635247")</f>
        <v>0273635247</v>
      </c>
      <c r="K1013" t="str">
        <f t="shared" si="407"/>
        <v>0</v>
      </c>
      <c r="L1013" t="str">
        <f>("2001/10/10 00:00:00")</f>
        <v>2001/10/10 00:00:00</v>
      </c>
      <c r="M1013" t="str">
        <f>("2018/08/11 13:31:56")</f>
        <v>2018/08/11 13:31:56</v>
      </c>
      <c r="N1013" t="str">
        <f>("1998")</f>
        <v>1998</v>
      </c>
      <c r="O1013" t="str">
        <f t="shared" si="420"/>
        <v>4F西文書庫 4F Western Language Books</v>
      </c>
      <c r="P1013" t="s">
        <v>64</v>
      </c>
      <c r="W1013" t="str">
        <f t="shared" ref="W1013:W1076" si="424">("美國國會圖書分類法")</f>
        <v>美國國會圖書分類法</v>
      </c>
      <c r="Y1013" t="str">
        <f>("HD58.82")</f>
        <v>HD58.82</v>
      </c>
      <c r="Z1013" t="str">
        <f>("2018/08/11 13:31:56")</f>
        <v>2018/08/11 13:31:56</v>
      </c>
      <c r="AA1013" t="str">
        <f t="shared" si="410"/>
        <v>catc</v>
      </c>
      <c r="AC1013" t="str">
        <f>("C782")</f>
        <v>C782</v>
      </c>
      <c r="AE1013" t="str">
        <f t="shared" si="421"/>
        <v>c.1</v>
      </c>
      <c r="AF1013" t="str">
        <f t="shared" si="422"/>
        <v>1.可借圖書</v>
      </c>
      <c r="AG1013" t="str">
        <f t="shared" si="423"/>
        <v>在架</v>
      </c>
      <c r="AI1013" t="s">
        <v>65</v>
      </c>
      <c r="AK1013" t="str">
        <f t="shared" si="413"/>
        <v>一般(Normal)</v>
      </c>
      <c r="AO1013" t="s">
        <v>65</v>
      </c>
      <c r="AS1013" t="str">
        <f>("1998.")</f>
        <v>1998.</v>
      </c>
      <c r="AT1013" t="str">
        <f t="shared" si="414"/>
        <v>catc</v>
      </c>
    </row>
    <row r="1014" spans="2:46" x14ac:dyDescent="0.25">
      <c r="B1014" t="str">
        <f>("287834")</f>
        <v>287834</v>
      </c>
      <c r="C1014" t="str">
        <f>("W00003084")</f>
        <v>W00003084</v>
      </c>
      <c r="D1014" t="str">
        <f>("The manager's book of checklists :a practical guide to improving your managerial skills /")</f>
        <v>The manager's book of checklists :a practical guide to improving your managerial skills /</v>
      </c>
      <c r="E1014" t="str">
        <f>("Rowntree, Derek,1936-")</f>
        <v>Rowntree, Derek,1936-</v>
      </c>
      <c r="F1014" t="str">
        <f>("Prentice Hall,")</f>
        <v>Prentice Hall,</v>
      </c>
      <c r="H1014" t="str">
        <f t="shared" si="406"/>
        <v>圖書 book</v>
      </c>
      <c r="I1014" t="str">
        <f>("HD31 P889 2000")</f>
        <v>HD31 P889 2000</v>
      </c>
      <c r="J1014" t="str">
        <f>("0273644874")</f>
        <v>0273644874</v>
      </c>
      <c r="K1014" t="str">
        <f t="shared" si="407"/>
        <v>0</v>
      </c>
      <c r="L1014" t="str">
        <f>("2001/10/10 00:00:00")</f>
        <v>2001/10/10 00:00:00</v>
      </c>
      <c r="M1014" t="str">
        <f>("2018/08/11 13:31:58")</f>
        <v>2018/08/11 13:31:58</v>
      </c>
      <c r="N1014" t="str">
        <f>("2000")</f>
        <v>2000</v>
      </c>
      <c r="O1014" t="str">
        <f t="shared" si="420"/>
        <v>4F西文書庫 4F Western Language Books</v>
      </c>
      <c r="P1014" t="s">
        <v>64</v>
      </c>
      <c r="W1014" t="str">
        <f t="shared" si="424"/>
        <v>美國國會圖書分類法</v>
      </c>
      <c r="Y1014" t="str">
        <f>("HD31")</f>
        <v>HD31</v>
      </c>
      <c r="Z1014" t="str">
        <f>("2018/08/11 13:31:58")</f>
        <v>2018/08/11 13:31:58</v>
      </c>
      <c r="AA1014" t="str">
        <f t="shared" si="410"/>
        <v>catc</v>
      </c>
      <c r="AC1014" t="str">
        <f>("P889")</f>
        <v>P889</v>
      </c>
      <c r="AE1014" t="str">
        <f t="shared" si="421"/>
        <v>c.1</v>
      </c>
      <c r="AF1014" t="str">
        <f t="shared" si="422"/>
        <v>1.可借圖書</v>
      </c>
      <c r="AG1014" t="str">
        <f t="shared" si="423"/>
        <v>在架</v>
      </c>
      <c r="AI1014" t="s">
        <v>65</v>
      </c>
      <c r="AK1014" t="str">
        <f t="shared" si="413"/>
        <v>一般(Normal)</v>
      </c>
      <c r="AO1014" t="s">
        <v>65</v>
      </c>
      <c r="AS1014" t="str">
        <f>("2000.")</f>
        <v>2000.</v>
      </c>
      <c r="AT1014" t="str">
        <f t="shared" si="414"/>
        <v>catc</v>
      </c>
    </row>
    <row r="1015" spans="2:46" x14ac:dyDescent="0.25">
      <c r="B1015" t="str">
        <f>("290512")</f>
        <v>290512</v>
      </c>
      <c r="C1015" t="str">
        <f>("W00003085")</f>
        <v>W00003085</v>
      </c>
      <c r="D1015" t="str">
        <f>("Managing industrial knowledge :creation, transfer and Utilization /")</f>
        <v>Managing industrial knowledge :creation, transfer and Utilization /</v>
      </c>
      <c r="E1015" t="str">
        <f>("Nonaka, Ikujiro,1935-;Teece, David J.")</f>
        <v>Nonaka, Ikujiro,1935-;Teece, David J.</v>
      </c>
      <c r="F1015" t="str">
        <f>("SAGE,")</f>
        <v>SAGE,</v>
      </c>
      <c r="H1015" t="str">
        <f t="shared" si="406"/>
        <v>圖書 book</v>
      </c>
      <c r="I1015" t="str">
        <f>("HD30.2 M266 2001")</f>
        <v>HD30.2 M266 2001</v>
      </c>
      <c r="J1015" t="str">
        <f>("0761954988;0761954996")</f>
        <v>0761954988;0761954996</v>
      </c>
      <c r="K1015" t="str">
        <f t="shared" si="407"/>
        <v>0</v>
      </c>
      <c r="L1015" t="str">
        <f>("2001/10/16 00:00:00")</f>
        <v>2001/10/16 00:00:00</v>
      </c>
      <c r="M1015" t="str">
        <f>("2018/08/11 13:36:32")</f>
        <v>2018/08/11 13:36:32</v>
      </c>
      <c r="N1015" t="str">
        <f>("2001")</f>
        <v>2001</v>
      </c>
      <c r="O1015" t="str">
        <f t="shared" si="420"/>
        <v>4F西文書庫 4F Western Language Books</v>
      </c>
      <c r="P1015" t="s">
        <v>64</v>
      </c>
      <c r="W1015" t="str">
        <f t="shared" si="424"/>
        <v>美國國會圖書分類法</v>
      </c>
      <c r="Y1015" t="str">
        <f>("HD30.2")</f>
        <v>HD30.2</v>
      </c>
      <c r="Z1015" t="str">
        <f>("2018/08/11 13:36:32")</f>
        <v>2018/08/11 13:36:32</v>
      </c>
      <c r="AA1015" t="str">
        <f t="shared" si="410"/>
        <v>catc</v>
      </c>
      <c r="AC1015" t="str">
        <f>("M266")</f>
        <v>M266</v>
      </c>
      <c r="AE1015" t="str">
        <f t="shared" si="421"/>
        <v>c.1</v>
      </c>
      <c r="AF1015" t="str">
        <f t="shared" si="422"/>
        <v>1.可借圖書</v>
      </c>
      <c r="AG1015" t="str">
        <f t="shared" si="423"/>
        <v>在架</v>
      </c>
      <c r="AI1015" t="s">
        <v>65</v>
      </c>
      <c r="AK1015" t="str">
        <f t="shared" si="413"/>
        <v>一般(Normal)</v>
      </c>
      <c r="AO1015" t="s">
        <v>65</v>
      </c>
      <c r="AS1015" t="str">
        <f>("2001.")</f>
        <v>2001.</v>
      </c>
      <c r="AT1015" t="str">
        <f t="shared" si="414"/>
        <v>catc</v>
      </c>
    </row>
    <row r="1016" spans="2:46" x14ac:dyDescent="0.25">
      <c r="B1016" t="str">
        <f>("287760")</f>
        <v>287760</v>
      </c>
      <c r="C1016" t="str">
        <f>("W00003086")</f>
        <v>W00003086</v>
      </c>
      <c r="D1016" t="str">
        <f>("Manufacturer's guide to implementing the theory of constraints /")</f>
        <v>Manufacturer's guide to implementing the theory of constraints /</v>
      </c>
      <c r="E1016" t="str">
        <f>("Woeppel, Mark J.")</f>
        <v>Woeppel, Mark J.</v>
      </c>
      <c r="F1016" t="str">
        <f>("St. Lucie Press,")</f>
        <v>St. Lucie Press,</v>
      </c>
      <c r="H1016" t="str">
        <f t="shared" si="406"/>
        <v>圖書 book</v>
      </c>
      <c r="I1016" t="str">
        <f>("TS155 W842 2001")</f>
        <v>TS155 W842 2001</v>
      </c>
      <c r="J1016" t="str">
        <f>("1574442686")</f>
        <v>1574442686</v>
      </c>
      <c r="K1016" t="str">
        <f t="shared" si="407"/>
        <v>0</v>
      </c>
      <c r="L1016" t="str">
        <f t="shared" ref="L1016:L1037" si="425">("2001/10/10 00:00:00")</f>
        <v>2001/10/10 00:00:00</v>
      </c>
      <c r="M1016" t="str">
        <f>("2018/08/11 13:31:54")</f>
        <v>2018/08/11 13:31:54</v>
      </c>
      <c r="N1016" t="str">
        <f>("2001")</f>
        <v>2001</v>
      </c>
      <c r="O1016" t="str">
        <f t="shared" si="420"/>
        <v>4F西文書庫 4F Western Language Books</v>
      </c>
      <c r="P1016" t="s">
        <v>64</v>
      </c>
      <c r="W1016" t="str">
        <f t="shared" si="424"/>
        <v>美國國會圖書分類法</v>
      </c>
      <c r="Y1016" t="str">
        <f>("TS155")</f>
        <v>TS155</v>
      </c>
      <c r="Z1016" t="str">
        <f>("2018/08/11 13:31:54")</f>
        <v>2018/08/11 13:31:54</v>
      </c>
      <c r="AA1016" t="str">
        <f t="shared" si="410"/>
        <v>catc</v>
      </c>
      <c r="AC1016" t="str">
        <f>("W842")</f>
        <v>W842</v>
      </c>
      <c r="AE1016" t="str">
        <f t="shared" si="421"/>
        <v>c.1</v>
      </c>
      <c r="AF1016" t="str">
        <f t="shared" si="422"/>
        <v>1.可借圖書</v>
      </c>
      <c r="AG1016" t="str">
        <f t="shared" si="423"/>
        <v>在架</v>
      </c>
      <c r="AI1016" t="s">
        <v>65</v>
      </c>
      <c r="AK1016" t="str">
        <f t="shared" si="413"/>
        <v>一般(Normal)</v>
      </c>
      <c r="AO1016" t="s">
        <v>65</v>
      </c>
      <c r="AS1016" t="str">
        <f>("c2001.")</f>
        <v>c2001.</v>
      </c>
      <c r="AT1016" t="str">
        <f t="shared" si="414"/>
        <v>catc</v>
      </c>
    </row>
    <row r="1017" spans="2:46" x14ac:dyDescent="0.25">
      <c r="B1017" t="str">
        <f>("287796")</f>
        <v>287796</v>
      </c>
      <c r="C1017" t="str">
        <f>("W00003087")</f>
        <v>W00003087</v>
      </c>
      <c r="D1017" t="str">
        <f>("Making musical instruments by hand /")</f>
        <v>Making musical instruments by hand /</v>
      </c>
      <c r="E1017" t="str">
        <f>("Havighurst, Jay.")</f>
        <v>Havighurst, Jay.</v>
      </c>
      <c r="F1017" t="str">
        <f>("Quarry Books ;;Distributed to the book trade and art trade in the United States by North Light,")</f>
        <v>Quarry Books ;;Distributed to the book trade and art trade in the United States by North Light,</v>
      </c>
      <c r="H1017" t="str">
        <f t="shared" si="406"/>
        <v>圖書 book</v>
      </c>
      <c r="I1017" t="str">
        <f>("ML460 H388 1998")</f>
        <v>ML460 H388 1998</v>
      </c>
      <c r="J1017" t="str">
        <f>("1564963527")</f>
        <v>1564963527</v>
      </c>
      <c r="K1017" t="str">
        <f t="shared" si="407"/>
        <v>0</v>
      </c>
      <c r="L1017" t="str">
        <f t="shared" si="425"/>
        <v>2001/10/10 00:00:00</v>
      </c>
      <c r="M1017" t="str">
        <f>("2018/08/11 13:31:55")</f>
        <v>2018/08/11 13:31:55</v>
      </c>
      <c r="N1017" t="str">
        <f>("1998")</f>
        <v>1998</v>
      </c>
      <c r="O1017" t="str">
        <f t="shared" si="420"/>
        <v>4F西文書庫 4F Western Language Books</v>
      </c>
      <c r="P1017" t="s">
        <v>64</v>
      </c>
      <c r="W1017" t="str">
        <f t="shared" si="424"/>
        <v>美國國會圖書分類法</v>
      </c>
      <c r="Y1017" t="str">
        <f>("ML460")</f>
        <v>ML460</v>
      </c>
      <c r="Z1017" t="str">
        <f>("2018/08/11 13:31:55")</f>
        <v>2018/08/11 13:31:55</v>
      </c>
      <c r="AA1017" t="str">
        <f t="shared" si="410"/>
        <v>catc</v>
      </c>
      <c r="AC1017" t="str">
        <f>("H388")</f>
        <v>H388</v>
      </c>
      <c r="AE1017" t="str">
        <f t="shared" si="421"/>
        <v>c.1</v>
      </c>
      <c r="AF1017" t="str">
        <f t="shared" si="422"/>
        <v>1.可借圖書</v>
      </c>
      <c r="AG1017" t="str">
        <f t="shared" si="423"/>
        <v>在架</v>
      </c>
      <c r="AI1017" t="s">
        <v>65</v>
      </c>
      <c r="AK1017" t="str">
        <f t="shared" si="413"/>
        <v>一般(Normal)</v>
      </c>
      <c r="AO1017" t="s">
        <v>65</v>
      </c>
      <c r="AS1017" t="str">
        <f>("c1998.")</f>
        <v>c1998.</v>
      </c>
      <c r="AT1017" t="str">
        <f t="shared" si="414"/>
        <v>catc</v>
      </c>
    </row>
    <row r="1018" spans="2:46" x14ac:dyDescent="0.25">
      <c r="B1018" t="str">
        <f>("287819")</f>
        <v>287819</v>
      </c>
      <c r="C1018" t="str">
        <f>("W00003088")</f>
        <v>W00003088</v>
      </c>
      <c r="D1018" t="str">
        <f>("Mastering spreadsheet budgets and forecasts :how to save time and gain control of your business /")</f>
        <v>Mastering spreadsheet budgets and forecasts :how to save time and gain control of your business /</v>
      </c>
      <c r="E1018" t="str">
        <f>("Secrett, Malcolm.")</f>
        <v>Secrett, Malcolm.</v>
      </c>
      <c r="F1018" t="str">
        <f>("Prentice Hall,")</f>
        <v>Prentice Hall,</v>
      </c>
      <c r="H1018" t="str">
        <f t="shared" si="406"/>
        <v>圖書 book</v>
      </c>
      <c r="I1018" t="str">
        <f>("HG4028.B8 S446 2000")</f>
        <v>HG4028.B8 S446 2000</v>
      </c>
      <c r="J1018" t="str">
        <f>("0273644912")</f>
        <v>0273644912</v>
      </c>
      <c r="K1018" t="str">
        <f t="shared" si="407"/>
        <v>0</v>
      </c>
      <c r="L1018" t="str">
        <f t="shared" si="425"/>
        <v>2001/10/10 00:00:00</v>
      </c>
      <c r="M1018" t="str">
        <f>("2018/08/11 13:31:57")</f>
        <v>2018/08/11 13:31:57</v>
      </c>
      <c r="N1018" t="str">
        <f>("2000")</f>
        <v>2000</v>
      </c>
      <c r="O1018" t="str">
        <f t="shared" si="420"/>
        <v>4F西文書庫 4F Western Language Books</v>
      </c>
      <c r="P1018" t="s">
        <v>64</v>
      </c>
      <c r="W1018" t="str">
        <f t="shared" si="424"/>
        <v>美國國會圖書分類法</v>
      </c>
      <c r="Y1018" t="str">
        <f>("HG4028.B8")</f>
        <v>HG4028.B8</v>
      </c>
      <c r="Z1018" t="str">
        <f>("2018/08/11 13:31:57")</f>
        <v>2018/08/11 13:31:57</v>
      </c>
      <c r="AA1018" t="str">
        <f t="shared" si="410"/>
        <v>catc</v>
      </c>
      <c r="AC1018" t="str">
        <f>("S446")</f>
        <v>S446</v>
      </c>
      <c r="AE1018" t="str">
        <f t="shared" si="421"/>
        <v>c.1</v>
      </c>
      <c r="AF1018" t="str">
        <f t="shared" si="422"/>
        <v>1.可借圖書</v>
      </c>
      <c r="AG1018" t="str">
        <f t="shared" si="423"/>
        <v>在架</v>
      </c>
      <c r="AI1018" t="s">
        <v>65</v>
      </c>
      <c r="AK1018" t="str">
        <f t="shared" si="413"/>
        <v>一般(Normal)</v>
      </c>
      <c r="AO1018" t="s">
        <v>65</v>
      </c>
      <c r="AS1018" t="str">
        <f>("2000.")</f>
        <v>2000.</v>
      </c>
      <c r="AT1018" t="str">
        <f t="shared" si="414"/>
        <v>catc</v>
      </c>
    </row>
    <row r="1019" spans="2:46" x14ac:dyDescent="0.25">
      <c r="B1019" t="str">
        <f>("287793")</f>
        <v>287793</v>
      </c>
      <c r="C1019" t="str">
        <f>("W00003089")</f>
        <v>W00003089</v>
      </c>
      <c r="D1019" t="str">
        <f>("Museum memories :history, technology, art /")</f>
        <v>Museum memories :history, technology, art /</v>
      </c>
      <c r="E1019" t="str">
        <f>("Maleuvre, Didier.")</f>
        <v>Maleuvre, Didier.</v>
      </c>
      <c r="F1019" t="str">
        <f>("Stanford University Press,")</f>
        <v>Stanford University Press,</v>
      </c>
      <c r="H1019" t="str">
        <f t="shared" si="406"/>
        <v>圖書 book</v>
      </c>
      <c r="I1019" t="str">
        <f>("AM7 M247 1999")</f>
        <v>AM7 M247 1999</v>
      </c>
      <c r="J1019" t="str">
        <f>("0804732027;0804736049")</f>
        <v>0804732027;0804736049</v>
      </c>
      <c r="K1019" t="str">
        <f t="shared" si="407"/>
        <v>0</v>
      </c>
      <c r="L1019" t="str">
        <f t="shared" si="425"/>
        <v>2001/10/10 00:00:00</v>
      </c>
      <c r="M1019" t="str">
        <f>("2018/08/11 13:31:54")</f>
        <v>2018/08/11 13:31:54</v>
      </c>
      <c r="N1019" t="str">
        <f>("1999")</f>
        <v>1999</v>
      </c>
      <c r="O1019" t="str">
        <f>("罕用書庫1-洽櫃台填單 Upon-Request Collection1 fil")</f>
        <v>罕用書庫1-洽櫃台填單 Upon-Request Collection1 fil</v>
      </c>
      <c r="P1019" t="s">
        <v>64</v>
      </c>
      <c r="S1019" t="str">
        <f>("xii, 325 p. :")</f>
        <v>xii, 325 p. :</v>
      </c>
      <c r="T1019" t="str">
        <f>("ill. ;")</f>
        <v>ill. ;</v>
      </c>
      <c r="U1019" t="str">
        <f>("22 cm.")</f>
        <v>22 cm.</v>
      </c>
      <c r="W1019" t="str">
        <f t="shared" si="424"/>
        <v>美國國會圖書分類法</v>
      </c>
      <c r="Y1019" t="str">
        <f>("AM7")</f>
        <v>AM7</v>
      </c>
      <c r="Z1019" t="str">
        <f>("2018/08/11 13:31:54")</f>
        <v>2018/08/11 13:31:54</v>
      </c>
      <c r="AA1019" t="str">
        <f t="shared" si="410"/>
        <v>catc</v>
      </c>
      <c r="AC1019" t="str">
        <f>("M247")</f>
        <v>M247</v>
      </c>
      <c r="AE1019" t="str">
        <f t="shared" si="421"/>
        <v>c.1</v>
      </c>
      <c r="AF1019" t="str">
        <f>("不流通")</f>
        <v>不流通</v>
      </c>
      <c r="AG1019" t="str">
        <f>("報銷中")</f>
        <v>報銷中</v>
      </c>
      <c r="AI1019" t="s">
        <v>65</v>
      </c>
      <c r="AK1019" t="str">
        <f t="shared" si="413"/>
        <v>一般(Normal)</v>
      </c>
      <c r="AO1019" t="s">
        <v>65</v>
      </c>
      <c r="AS1019" t="str">
        <f>("1999.")</f>
        <v>1999.</v>
      </c>
      <c r="AT1019" t="str">
        <f t="shared" si="414"/>
        <v>catc</v>
      </c>
    </row>
    <row r="1020" spans="2:46" x14ac:dyDescent="0.25">
      <c r="B1020" t="str">
        <f>("287794")</f>
        <v>287794</v>
      </c>
      <c r="C1020" t="str">
        <f>("W00003090")</f>
        <v>W00003090</v>
      </c>
      <c r="D1020" t="str">
        <f>("Powerful communication skills :how to communicate with confidence /")</f>
        <v>Powerful communication skills :how to communicate with confidence /</v>
      </c>
      <c r="E1020" t="str">
        <f>("McKenna, Colleen.")</f>
        <v>McKenna, Colleen.</v>
      </c>
      <c r="F1020" t="str">
        <f>("Career Press,")</f>
        <v>Career Press,</v>
      </c>
      <c r="H1020" t="str">
        <f t="shared" si="406"/>
        <v>圖書 book</v>
      </c>
      <c r="I1020" t="str">
        <f>("HF5718 M155 1998")</f>
        <v>HF5718 M155 1998</v>
      </c>
      <c r="J1020" t="str">
        <f>("1564143562")</f>
        <v>1564143562</v>
      </c>
      <c r="K1020" t="str">
        <f t="shared" si="407"/>
        <v>0</v>
      </c>
      <c r="L1020" t="str">
        <f t="shared" si="425"/>
        <v>2001/10/10 00:00:00</v>
      </c>
      <c r="M1020" t="str">
        <f>("2018/08/11 13:31:55")</f>
        <v>2018/08/11 13:31:55</v>
      </c>
      <c r="N1020" t="str">
        <f>("1998")</f>
        <v>1998</v>
      </c>
      <c r="O1020" t="str">
        <f t="shared" ref="O1020:O1026" si="426">("4F西文書庫 4F Western Language Books")</f>
        <v>4F西文書庫 4F Western Language Books</v>
      </c>
      <c r="P1020" t="s">
        <v>64</v>
      </c>
      <c r="W1020" t="str">
        <f t="shared" si="424"/>
        <v>美國國會圖書分類法</v>
      </c>
      <c r="Y1020" t="str">
        <f>("HF5718")</f>
        <v>HF5718</v>
      </c>
      <c r="Z1020" t="str">
        <f>("2018/08/11 13:31:55")</f>
        <v>2018/08/11 13:31:55</v>
      </c>
      <c r="AA1020" t="str">
        <f t="shared" si="410"/>
        <v>catc</v>
      </c>
      <c r="AC1020" t="str">
        <f>("M155")</f>
        <v>M155</v>
      </c>
      <c r="AE1020" t="str">
        <f t="shared" si="421"/>
        <v>c.1</v>
      </c>
      <c r="AF1020" t="str">
        <f t="shared" ref="AF1020:AF1026" si="427">("1.可借圖書")</f>
        <v>1.可借圖書</v>
      </c>
      <c r="AG1020" t="str">
        <f t="shared" ref="AG1020:AG1026" si="428">("在架")</f>
        <v>在架</v>
      </c>
      <c r="AI1020" t="s">
        <v>65</v>
      </c>
      <c r="AK1020" t="str">
        <f t="shared" si="413"/>
        <v>一般(Normal)</v>
      </c>
      <c r="AO1020" t="s">
        <v>65</v>
      </c>
      <c r="AS1020" t="str">
        <f>("c1998.")</f>
        <v>c1998.</v>
      </c>
      <c r="AT1020" t="str">
        <f t="shared" si="414"/>
        <v>catc</v>
      </c>
    </row>
    <row r="1021" spans="2:46" x14ac:dyDescent="0.25">
      <c r="B1021" t="str">
        <f>("287835")</f>
        <v>287835</v>
      </c>
      <c r="C1021" t="str">
        <f>("W00003091")</f>
        <v>W00003091</v>
      </c>
      <c r="D1021" t="str">
        <f>("Press here! :managing the media for free publicity /")</f>
        <v>Press here! :managing the media for free publicity /</v>
      </c>
      <c r="E1021" t="str">
        <f>("Gurton, Annie")</f>
        <v>Gurton, Annie</v>
      </c>
      <c r="F1021" t="str">
        <f>("Prentice Hall,")</f>
        <v>Prentice Hall,</v>
      </c>
      <c r="H1021" t="str">
        <f t="shared" si="406"/>
        <v>圖書 book</v>
      </c>
      <c r="I1021" t="str">
        <f>("HD59 G981 1998")</f>
        <v>HD59 G981 1998</v>
      </c>
      <c r="J1021" t="str">
        <f>("0130954098")</f>
        <v>0130954098</v>
      </c>
      <c r="K1021" t="str">
        <f t="shared" si="407"/>
        <v>0</v>
      </c>
      <c r="L1021" t="str">
        <f t="shared" si="425"/>
        <v>2001/10/10 00:00:00</v>
      </c>
      <c r="M1021" t="str">
        <f>("2018/08/11 13:31:58")</f>
        <v>2018/08/11 13:31:58</v>
      </c>
      <c r="N1021" t="str">
        <f>("1998")</f>
        <v>1998</v>
      </c>
      <c r="O1021" t="str">
        <f t="shared" si="426"/>
        <v>4F西文書庫 4F Western Language Books</v>
      </c>
      <c r="P1021" t="s">
        <v>64</v>
      </c>
      <c r="W1021" t="str">
        <f t="shared" si="424"/>
        <v>美國國會圖書分類法</v>
      </c>
      <c r="Y1021" t="str">
        <f>("HD59")</f>
        <v>HD59</v>
      </c>
      <c r="Z1021" t="str">
        <f>("2018/08/11 13:31:58")</f>
        <v>2018/08/11 13:31:58</v>
      </c>
      <c r="AA1021" t="str">
        <f t="shared" si="410"/>
        <v>catc</v>
      </c>
      <c r="AC1021" t="str">
        <f>("G981")</f>
        <v>G981</v>
      </c>
      <c r="AE1021" t="str">
        <f t="shared" si="421"/>
        <v>c.1</v>
      </c>
      <c r="AF1021" t="str">
        <f t="shared" si="427"/>
        <v>1.可借圖書</v>
      </c>
      <c r="AG1021" t="str">
        <f t="shared" si="428"/>
        <v>在架</v>
      </c>
      <c r="AI1021" t="s">
        <v>65</v>
      </c>
      <c r="AK1021" t="str">
        <f t="shared" si="413"/>
        <v>一般(Normal)</v>
      </c>
      <c r="AO1021" t="s">
        <v>65</v>
      </c>
      <c r="AS1021" t="str">
        <f>("c1998")</f>
        <v>c1998</v>
      </c>
      <c r="AT1021" t="str">
        <f t="shared" si="414"/>
        <v>catc</v>
      </c>
    </row>
    <row r="1022" spans="2:46" x14ac:dyDescent="0.25">
      <c r="B1022" t="str">
        <f>("287792")</f>
        <v>287792</v>
      </c>
      <c r="C1022" t="str">
        <f>("W00003092")</f>
        <v>W00003092</v>
      </c>
      <c r="D1022" t="str">
        <f>("Secrets of power presentations :overcome your fear of public speaking, build rapport and credibility with your audience, prepare and deliver a dynamic presentation /")</f>
        <v>Secrets of power presentations :overcome your fear of public speaking, build rapport and credibility with your audience, prepare and deliver a dynamic presentation /</v>
      </c>
      <c r="E1022" t="str">
        <f>("Holliday, Micki.")</f>
        <v>Holliday, Micki.</v>
      </c>
      <c r="F1022" t="str">
        <f>("Career Press,")</f>
        <v>Career Press,</v>
      </c>
      <c r="G1022" t="str">
        <f>("2nd ed.")</f>
        <v>2nd ed.</v>
      </c>
      <c r="H1022" t="str">
        <f t="shared" si="406"/>
        <v>圖書 book</v>
      </c>
      <c r="I1022" t="str">
        <f>("HF5718.22 H739 2000")</f>
        <v>HF5718.22 H739 2000</v>
      </c>
      <c r="J1022" t="str">
        <f>("1564144380")</f>
        <v>1564144380</v>
      </c>
      <c r="K1022" t="str">
        <f t="shared" si="407"/>
        <v>0</v>
      </c>
      <c r="L1022" t="str">
        <f t="shared" si="425"/>
        <v>2001/10/10 00:00:00</v>
      </c>
      <c r="M1022" t="str">
        <f>("2018/08/11 13:31:54")</f>
        <v>2018/08/11 13:31:54</v>
      </c>
      <c r="N1022" t="str">
        <f>("2000")</f>
        <v>2000</v>
      </c>
      <c r="O1022" t="str">
        <f t="shared" si="426"/>
        <v>4F西文書庫 4F Western Language Books</v>
      </c>
      <c r="P1022" t="s">
        <v>64</v>
      </c>
      <c r="W1022" t="str">
        <f t="shared" si="424"/>
        <v>美國國會圖書分類法</v>
      </c>
      <c r="Y1022" t="str">
        <f>("HF5718.22")</f>
        <v>HF5718.22</v>
      </c>
      <c r="Z1022" t="str">
        <f>("2018/08/11 13:31:54")</f>
        <v>2018/08/11 13:31:54</v>
      </c>
      <c r="AA1022" t="str">
        <f t="shared" si="410"/>
        <v>catc</v>
      </c>
      <c r="AC1022" t="str">
        <f>("H739")</f>
        <v>H739</v>
      </c>
      <c r="AE1022" t="str">
        <f t="shared" si="421"/>
        <v>c.1</v>
      </c>
      <c r="AF1022" t="str">
        <f t="shared" si="427"/>
        <v>1.可借圖書</v>
      </c>
      <c r="AG1022" t="str">
        <f t="shared" si="428"/>
        <v>在架</v>
      </c>
      <c r="AI1022" t="s">
        <v>65</v>
      </c>
      <c r="AK1022" t="str">
        <f t="shared" si="413"/>
        <v>一般(Normal)</v>
      </c>
      <c r="AO1022" t="s">
        <v>65</v>
      </c>
      <c r="AS1022" t="str">
        <f>("c2000.")</f>
        <v>c2000.</v>
      </c>
      <c r="AT1022" t="str">
        <f t="shared" si="414"/>
        <v>catc</v>
      </c>
    </row>
    <row r="1023" spans="2:46" x14ac:dyDescent="0.25">
      <c r="B1023" t="str">
        <f>("287791")</f>
        <v>287791</v>
      </c>
      <c r="C1023" t="str">
        <f>("W00003093")</f>
        <v>W00003093</v>
      </c>
      <c r="D1023" t="str">
        <f>("The encyclopedia of business letters, fax memos, and e-mail /")</f>
        <v>The encyclopedia of business letters, fax memos, and e-mail /</v>
      </c>
      <c r="E1023" t="str">
        <f>("Bly, Robert W.")</f>
        <v>Bly, Robert W.</v>
      </c>
      <c r="F1023" t="str">
        <f>("Career Press,")</f>
        <v>Career Press,</v>
      </c>
      <c r="H1023" t="str">
        <f t="shared" si="406"/>
        <v>圖書 book</v>
      </c>
      <c r="I1023" t="str">
        <f>("HF5721 B661 1999")</f>
        <v>HF5721 B661 1999</v>
      </c>
      <c r="J1023" t="str">
        <f>("1564143759")</f>
        <v>1564143759</v>
      </c>
      <c r="K1023" t="str">
        <f t="shared" si="407"/>
        <v>0</v>
      </c>
      <c r="L1023" t="str">
        <f t="shared" si="425"/>
        <v>2001/10/10 00:00:00</v>
      </c>
      <c r="M1023" t="str">
        <f>("2018/08/11 13:31:54")</f>
        <v>2018/08/11 13:31:54</v>
      </c>
      <c r="N1023" t="str">
        <f>("1999")</f>
        <v>1999</v>
      </c>
      <c r="O1023" t="str">
        <f t="shared" si="426"/>
        <v>4F西文書庫 4F Western Language Books</v>
      </c>
      <c r="P1023" t="s">
        <v>64</v>
      </c>
      <c r="W1023" t="str">
        <f t="shared" si="424"/>
        <v>美國國會圖書分類法</v>
      </c>
      <c r="Y1023" t="str">
        <f>("HF5721")</f>
        <v>HF5721</v>
      </c>
      <c r="Z1023" t="str">
        <f>("2018/08/11 13:31:54")</f>
        <v>2018/08/11 13:31:54</v>
      </c>
      <c r="AA1023" t="str">
        <f t="shared" si="410"/>
        <v>catc</v>
      </c>
      <c r="AC1023" t="str">
        <f>("B661")</f>
        <v>B661</v>
      </c>
      <c r="AE1023" t="str">
        <f t="shared" si="421"/>
        <v>c.1</v>
      </c>
      <c r="AF1023" t="str">
        <f t="shared" si="427"/>
        <v>1.可借圖書</v>
      </c>
      <c r="AG1023" t="str">
        <f t="shared" si="428"/>
        <v>在架</v>
      </c>
      <c r="AI1023" t="s">
        <v>65</v>
      </c>
      <c r="AK1023" t="str">
        <f t="shared" si="413"/>
        <v>一般(Normal)</v>
      </c>
      <c r="AO1023" t="s">
        <v>65</v>
      </c>
      <c r="AS1023" t="str">
        <f>("c1999.")</f>
        <v>c1999.</v>
      </c>
      <c r="AT1023" t="str">
        <f t="shared" si="414"/>
        <v>catc</v>
      </c>
    </row>
    <row r="1024" spans="2:46" x14ac:dyDescent="0.25">
      <c r="B1024" t="str">
        <f>("287804")</f>
        <v>287804</v>
      </c>
      <c r="C1024" t="str">
        <f>("W00003094")</f>
        <v>W00003094</v>
      </c>
      <c r="D1024" t="str">
        <f>("The power of innovative thinking :let new ideas lead you to success /")</f>
        <v>The power of innovative thinking :let new ideas lead you to success /</v>
      </c>
      <c r="E1024" t="str">
        <f>("Wheeler, Jim.")</f>
        <v>Wheeler, Jim.</v>
      </c>
      <c r="F1024" t="str">
        <f>("Career Press,")</f>
        <v>Career Press,</v>
      </c>
      <c r="H1024" t="str">
        <f t="shared" si="406"/>
        <v>圖書 book</v>
      </c>
      <c r="I1024" t="str">
        <f>("HD30.29 W563 1998")</f>
        <v>HD30.29 W563 1998</v>
      </c>
      <c r="J1024" t="str">
        <f>("1564143651")</f>
        <v>1564143651</v>
      </c>
      <c r="K1024" t="str">
        <f t="shared" si="407"/>
        <v>0</v>
      </c>
      <c r="L1024" t="str">
        <f t="shared" si="425"/>
        <v>2001/10/10 00:00:00</v>
      </c>
      <c r="M1024" t="str">
        <f>("2018/08/11 13:31:54")</f>
        <v>2018/08/11 13:31:54</v>
      </c>
      <c r="N1024" t="str">
        <f>("1998")</f>
        <v>1998</v>
      </c>
      <c r="O1024" t="str">
        <f t="shared" si="426"/>
        <v>4F西文書庫 4F Western Language Books</v>
      </c>
      <c r="P1024" t="s">
        <v>64</v>
      </c>
      <c r="W1024" t="str">
        <f t="shared" si="424"/>
        <v>美國國會圖書分類法</v>
      </c>
      <c r="Y1024" t="str">
        <f>("HD30.29")</f>
        <v>HD30.29</v>
      </c>
      <c r="Z1024" t="str">
        <f>("2018/08/11 13:31:54")</f>
        <v>2018/08/11 13:31:54</v>
      </c>
      <c r="AA1024" t="str">
        <f t="shared" si="410"/>
        <v>catc</v>
      </c>
      <c r="AC1024" t="str">
        <f>("W563")</f>
        <v>W563</v>
      </c>
      <c r="AE1024" t="str">
        <f t="shared" si="421"/>
        <v>c.1</v>
      </c>
      <c r="AF1024" t="str">
        <f t="shared" si="427"/>
        <v>1.可借圖書</v>
      </c>
      <c r="AG1024" t="str">
        <f t="shared" si="428"/>
        <v>在架</v>
      </c>
      <c r="AI1024" t="s">
        <v>65</v>
      </c>
      <c r="AK1024" t="str">
        <f t="shared" si="413"/>
        <v>一般(Normal)</v>
      </c>
      <c r="AO1024" t="s">
        <v>65</v>
      </c>
      <c r="AS1024" t="str">
        <f>("c1998.")</f>
        <v>c1998.</v>
      </c>
      <c r="AT1024" t="str">
        <f t="shared" si="414"/>
        <v>catc</v>
      </c>
    </row>
    <row r="1025" spans="2:46" x14ac:dyDescent="0.25">
      <c r="B1025" t="str">
        <f>("287790")</f>
        <v>287790</v>
      </c>
      <c r="C1025" t="str">
        <f>("W00003095")</f>
        <v>W00003095</v>
      </c>
      <c r="D1025" t="str">
        <f>("Think out of the box /")</f>
        <v>Think out of the box /</v>
      </c>
      <c r="E1025" t="str">
        <f>("Vance, Mike.")</f>
        <v>Vance, Mike.</v>
      </c>
      <c r="F1025" t="str">
        <f>("Career Press,")</f>
        <v>Career Press,</v>
      </c>
      <c r="H1025" t="str">
        <f t="shared" si="406"/>
        <v>圖書 book</v>
      </c>
      <c r="I1025" t="str">
        <f>("HD53 V222 1995")</f>
        <v>HD53 V222 1995</v>
      </c>
      <c r="J1025" t="str">
        <f>("1564141861")</f>
        <v>1564141861</v>
      </c>
      <c r="K1025" t="str">
        <f t="shared" si="407"/>
        <v>0</v>
      </c>
      <c r="L1025" t="str">
        <f t="shared" si="425"/>
        <v>2001/10/10 00:00:00</v>
      </c>
      <c r="M1025" t="str">
        <f>("2018/08/11 13:31:54")</f>
        <v>2018/08/11 13:31:54</v>
      </c>
      <c r="N1025" t="str">
        <f>("1995")</f>
        <v>1995</v>
      </c>
      <c r="O1025" t="str">
        <f t="shared" si="426"/>
        <v>4F西文書庫 4F Western Language Books</v>
      </c>
      <c r="P1025" t="s">
        <v>64</v>
      </c>
      <c r="W1025" t="str">
        <f t="shared" si="424"/>
        <v>美國國會圖書分類法</v>
      </c>
      <c r="Y1025" t="str">
        <f>("HD53")</f>
        <v>HD53</v>
      </c>
      <c r="Z1025" t="str">
        <f>("2018/08/11 13:31:54")</f>
        <v>2018/08/11 13:31:54</v>
      </c>
      <c r="AA1025" t="str">
        <f t="shared" si="410"/>
        <v>catc</v>
      </c>
      <c r="AC1025" t="str">
        <f>("V222")</f>
        <v>V222</v>
      </c>
      <c r="AE1025" t="str">
        <f t="shared" si="421"/>
        <v>c.1</v>
      </c>
      <c r="AF1025" t="str">
        <f t="shared" si="427"/>
        <v>1.可借圖書</v>
      </c>
      <c r="AG1025" t="str">
        <f t="shared" si="428"/>
        <v>在架</v>
      </c>
      <c r="AI1025" t="s">
        <v>65</v>
      </c>
      <c r="AK1025" t="str">
        <f t="shared" si="413"/>
        <v>一般(Normal)</v>
      </c>
      <c r="AO1025" t="s">
        <v>65</v>
      </c>
      <c r="AS1025" t="str">
        <f>("c1995.")</f>
        <v>c1995.</v>
      </c>
      <c r="AT1025" t="str">
        <f t="shared" si="414"/>
        <v>catc</v>
      </c>
    </row>
    <row r="1026" spans="2:46" x14ac:dyDescent="0.25">
      <c r="B1026" t="str">
        <f>("287820")</f>
        <v>287820</v>
      </c>
      <c r="C1026" t="str">
        <f>("W00003096")</f>
        <v>W00003096</v>
      </c>
      <c r="D1026" t="str">
        <f>("Thinking on your feet in negotiations :new approaches to creative thinking and problem solving /")</f>
        <v>Thinking on your feet in negotiations :new approaches to creative thinking and problem solving /</v>
      </c>
      <c r="E1026" t="str">
        <f>("Hodgson, Jane.")</f>
        <v>Hodgson, Jane.</v>
      </c>
      <c r="F1026" t="str">
        <f>("Prentice Hall,")</f>
        <v>Prentice Hall,</v>
      </c>
      <c r="H1026" t="str">
        <f t="shared" si="406"/>
        <v>圖書 book</v>
      </c>
      <c r="I1026" t="str">
        <f>("BF637.N4 H691 2000")</f>
        <v>BF637.N4 H691 2000</v>
      </c>
      <c r="J1026" t="str">
        <f>("0273644998")</f>
        <v>0273644998</v>
      </c>
      <c r="K1026" t="str">
        <f t="shared" si="407"/>
        <v>0</v>
      </c>
      <c r="L1026" t="str">
        <f t="shared" si="425"/>
        <v>2001/10/10 00:00:00</v>
      </c>
      <c r="M1026" t="str">
        <f>("2018/08/11 13:31:58")</f>
        <v>2018/08/11 13:31:58</v>
      </c>
      <c r="N1026" t="str">
        <f>("2000")</f>
        <v>2000</v>
      </c>
      <c r="O1026" t="str">
        <f t="shared" si="426"/>
        <v>4F西文書庫 4F Western Language Books</v>
      </c>
      <c r="P1026" t="s">
        <v>64</v>
      </c>
      <c r="W1026" t="str">
        <f t="shared" si="424"/>
        <v>美國國會圖書分類法</v>
      </c>
      <c r="Y1026" t="str">
        <f>("BF637.N4")</f>
        <v>BF637.N4</v>
      </c>
      <c r="Z1026" t="str">
        <f>("2018/08/11 13:31:57")</f>
        <v>2018/08/11 13:31:57</v>
      </c>
      <c r="AA1026" t="str">
        <f t="shared" si="410"/>
        <v>catc</v>
      </c>
      <c r="AC1026" t="str">
        <f>("H691")</f>
        <v>H691</v>
      </c>
      <c r="AE1026" t="str">
        <f t="shared" si="421"/>
        <v>c.1</v>
      </c>
      <c r="AF1026" t="str">
        <f t="shared" si="427"/>
        <v>1.可借圖書</v>
      </c>
      <c r="AG1026" t="str">
        <f t="shared" si="428"/>
        <v>在架</v>
      </c>
      <c r="AI1026" t="s">
        <v>65</v>
      </c>
      <c r="AK1026" t="str">
        <f t="shared" si="413"/>
        <v>一般(Normal)</v>
      </c>
      <c r="AO1026" t="s">
        <v>65</v>
      </c>
      <c r="AS1026" t="str">
        <f>("2000.")</f>
        <v>2000.</v>
      </c>
      <c r="AT1026" t="str">
        <f t="shared" si="414"/>
        <v>catc</v>
      </c>
    </row>
    <row r="1027" spans="2:46" x14ac:dyDescent="0.25">
      <c r="B1027" t="str">
        <f>("287815")</f>
        <v>287815</v>
      </c>
      <c r="C1027" t="str">
        <f>("W00003097")</f>
        <v>W00003097</v>
      </c>
      <c r="D1027" t="str">
        <f>("The Wall Street dictionary /")</f>
        <v>The Wall Street dictionary /</v>
      </c>
      <c r="E1027" t="str">
        <f>("Shook, R. J.")</f>
        <v>Shook, R. J.</v>
      </c>
      <c r="F1027" t="str">
        <f>("Career Press,")</f>
        <v>Career Press,</v>
      </c>
      <c r="H1027" t="str">
        <f>("參考書 Reference")</f>
        <v>參考書 Reference</v>
      </c>
      <c r="I1027" t="str">
        <f>("R HG151 S559 1999")</f>
        <v>R HG151 S559 1999</v>
      </c>
      <c r="J1027" t="str">
        <f>("156414402X")</f>
        <v>156414402X</v>
      </c>
      <c r="K1027" t="str">
        <f t="shared" si="407"/>
        <v>0</v>
      </c>
      <c r="L1027" t="str">
        <f t="shared" si="425"/>
        <v>2001/10/10 00:00:00</v>
      </c>
      <c r="M1027" t="str">
        <f>("2018/08/11 13:31:56")</f>
        <v>2018/08/11 13:31:56</v>
      </c>
      <c r="N1027" t="str">
        <f>("1999")</f>
        <v>1999</v>
      </c>
      <c r="O1027" t="str">
        <f>("2F西文參考書庫 2F Western Reference Resources")</f>
        <v>2F西文參考書庫 2F Western Reference Resources</v>
      </c>
      <c r="P1027" t="s">
        <v>64</v>
      </c>
      <c r="W1027" t="str">
        <f t="shared" si="424"/>
        <v>美國國會圖書分類法</v>
      </c>
      <c r="Y1027" t="str">
        <f>("HG151")</f>
        <v>HG151</v>
      </c>
      <c r="Z1027" t="str">
        <f>("2018/08/11 13:31:56")</f>
        <v>2018/08/11 13:31:56</v>
      </c>
      <c r="AA1027" t="str">
        <f t="shared" si="410"/>
        <v>catc</v>
      </c>
      <c r="AC1027" t="str">
        <f>("S559")</f>
        <v>S559</v>
      </c>
      <c r="AE1027" t="str">
        <f t="shared" si="421"/>
        <v>c.1</v>
      </c>
      <c r="AF1027" t="str">
        <f>("參考工具書")</f>
        <v>參考工具書</v>
      </c>
      <c r="AG1027" t="str">
        <f>("報銷中")</f>
        <v>報銷中</v>
      </c>
      <c r="AI1027" t="s">
        <v>66</v>
      </c>
      <c r="AK1027" t="str">
        <f t="shared" si="413"/>
        <v>一般(Normal)</v>
      </c>
      <c r="AO1027" t="s">
        <v>65</v>
      </c>
      <c r="AS1027" t="str">
        <f>("c1999.")</f>
        <v>c1999.</v>
      </c>
      <c r="AT1027" t="str">
        <f t="shared" si="414"/>
        <v>catc</v>
      </c>
    </row>
    <row r="1028" spans="2:46" x14ac:dyDescent="0.25">
      <c r="B1028" t="str">
        <f>("287789")</f>
        <v>287789</v>
      </c>
      <c r="C1028" t="str">
        <f>("W00003098")</f>
        <v>W00003098</v>
      </c>
      <c r="D1028" t="str">
        <f>("Web pages the smart way :a painless guide to creating and posting your own Website /")</f>
        <v>Web pages the smart way :a painless guide to creating and posting your own Website /</v>
      </c>
      <c r="E1028" t="str">
        <f>("Sinclair, Joseph T.")</f>
        <v>Sinclair, Joseph T.</v>
      </c>
      <c r="F1028" t="str">
        <f>("AMACOM,")</f>
        <v>AMACOM,</v>
      </c>
      <c r="H1028" t="str">
        <f t="shared" ref="H1028:H1091" si="429">("圖書 book")</f>
        <v>圖書 book</v>
      </c>
      <c r="I1028" t="str">
        <f>("TK5105.888 S616 2001")</f>
        <v>TK5105.888 S616 2001</v>
      </c>
      <c r="J1028" t="str">
        <f>("0814471021")</f>
        <v>0814471021</v>
      </c>
      <c r="K1028" t="str">
        <f t="shared" si="407"/>
        <v>0</v>
      </c>
      <c r="L1028" t="str">
        <f t="shared" si="425"/>
        <v>2001/10/10 00:00:00</v>
      </c>
      <c r="M1028" t="str">
        <f>("2018/08/11 13:31:54")</f>
        <v>2018/08/11 13:31:54</v>
      </c>
      <c r="N1028" t="str">
        <f>("2001")</f>
        <v>2001</v>
      </c>
      <c r="O1028" t="str">
        <f t="shared" ref="O1028:O1091" si="430">("4F西文書庫 4F Western Language Books")</f>
        <v>4F西文書庫 4F Western Language Books</v>
      </c>
      <c r="P1028" t="s">
        <v>64</v>
      </c>
      <c r="W1028" t="str">
        <f t="shared" si="424"/>
        <v>美國國會圖書分類法</v>
      </c>
      <c r="Y1028" t="str">
        <f>("TK5105.888")</f>
        <v>TK5105.888</v>
      </c>
      <c r="Z1028" t="str">
        <f>("2018/08/11 13:31:53")</f>
        <v>2018/08/11 13:31:53</v>
      </c>
      <c r="AA1028" t="str">
        <f t="shared" si="410"/>
        <v>catc</v>
      </c>
      <c r="AC1028" t="str">
        <f>("S616")</f>
        <v>S616</v>
      </c>
      <c r="AE1028" t="str">
        <f t="shared" si="421"/>
        <v>c.1</v>
      </c>
      <c r="AF1028" t="str">
        <f t="shared" ref="AF1028:AF1091" si="431">("1.可借圖書")</f>
        <v>1.可借圖書</v>
      </c>
      <c r="AG1028" t="str">
        <f t="shared" ref="AG1028:AG1091" si="432">("在架")</f>
        <v>在架</v>
      </c>
      <c r="AI1028" t="s">
        <v>65</v>
      </c>
      <c r="AK1028" t="str">
        <f t="shared" si="413"/>
        <v>一般(Normal)</v>
      </c>
      <c r="AO1028" t="s">
        <v>65</v>
      </c>
      <c r="AS1028" t="str">
        <f>("2001.")</f>
        <v>2001.</v>
      </c>
      <c r="AT1028" t="str">
        <f t="shared" si="414"/>
        <v>catc</v>
      </c>
    </row>
    <row r="1029" spans="2:46" x14ac:dyDescent="0.25">
      <c r="B1029" t="str">
        <f>("287832")</f>
        <v>287832</v>
      </c>
      <c r="C1029" t="str">
        <f>("W00003099")</f>
        <v>W00003099</v>
      </c>
      <c r="D1029" t="str">
        <f>("You can win :winners don't do different things they do things differently : a step-by-step tool for top acheivers /")</f>
        <v>You can win :winners don't do different things they do things differently : a step-by-step tool for top acheivers /</v>
      </c>
      <c r="E1029" t="str">
        <f>("Khera, Shiv.")</f>
        <v>Khera, Shiv.</v>
      </c>
      <c r="F1029" t="str">
        <f>("Prentice Hall,")</f>
        <v>Prentice Hall,</v>
      </c>
      <c r="H1029" t="str">
        <f t="shared" si="429"/>
        <v>圖書 book</v>
      </c>
      <c r="I1029" t="str">
        <f>("BF503 K45 1998")</f>
        <v>BF503 K45 1998</v>
      </c>
      <c r="J1029" t="str">
        <f>("0130953431")</f>
        <v>0130953431</v>
      </c>
      <c r="K1029" t="str">
        <f t="shared" si="407"/>
        <v>0</v>
      </c>
      <c r="L1029" t="str">
        <f t="shared" si="425"/>
        <v>2001/10/10 00:00:00</v>
      </c>
      <c r="M1029" t="str">
        <f>("2018/08/11 13:31:57")</f>
        <v>2018/08/11 13:31:57</v>
      </c>
      <c r="N1029" t="str">
        <f>("1998")</f>
        <v>1998</v>
      </c>
      <c r="O1029" t="str">
        <f t="shared" si="430"/>
        <v>4F西文書庫 4F Western Language Books</v>
      </c>
      <c r="P1029" t="s">
        <v>64</v>
      </c>
      <c r="W1029" t="str">
        <f t="shared" si="424"/>
        <v>美國國會圖書分類法</v>
      </c>
      <c r="Y1029" t="str">
        <f>("BF503")</f>
        <v>BF503</v>
      </c>
      <c r="Z1029" t="str">
        <f>("2018/08/11 13:31:57")</f>
        <v>2018/08/11 13:31:57</v>
      </c>
      <c r="AA1029" t="str">
        <f t="shared" si="410"/>
        <v>catc</v>
      </c>
      <c r="AC1029" t="str">
        <f>("K45")</f>
        <v>K45</v>
      </c>
      <c r="AE1029" t="str">
        <f t="shared" si="421"/>
        <v>c.1</v>
      </c>
      <c r="AF1029" t="str">
        <f t="shared" si="431"/>
        <v>1.可借圖書</v>
      </c>
      <c r="AG1029" t="str">
        <f t="shared" si="432"/>
        <v>在架</v>
      </c>
      <c r="AI1029" t="s">
        <v>65</v>
      </c>
      <c r="AK1029" t="str">
        <f t="shared" si="413"/>
        <v>一般(Normal)</v>
      </c>
      <c r="AO1029" t="s">
        <v>65</v>
      </c>
      <c r="AS1029" t="str">
        <f>("1998.")</f>
        <v>1998.</v>
      </c>
      <c r="AT1029" t="str">
        <f t="shared" si="414"/>
        <v>catc</v>
      </c>
    </row>
    <row r="1030" spans="2:46" x14ac:dyDescent="0.25">
      <c r="B1030" t="str">
        <f>("287836")</f>
        <v>287836</v>
      </c>
      <c r="C1030" t="str">
        <f>("W00003100")</f>
        <v>W00003100</v>
      </c>
      <c r="D1030" t="str">
        <f>("Accounts demystified :how to understand and use company accounts /")</f>
        <v>Accounts demystified :how to understand and use company accounts /</v>
      </c>
      <c r="E1030" t="str">
        <f>("Rice, Anthony.")</f>
        <v>Rice, Anthony.</v>
      </c>
      <c r="F1030" t="str">
        <f>("Prentice Hall,")</f>
        <v>Prentice Hall,</v>
      </c>
      <c r="H1030" t="str">
        <f t="shared" si="429"/>
        <v>圖書 book</v>
      </c>
      <c r="I1030" t="str">
        <f>("HF5686.C7 R495 2000")</f>
        <v>HF5686.C7 R495 2000</v>
      </c>
      <c r="J1030" t="str">
        <f>("0273644904")</f>
        <v>0273644904</v>
      </c>
      <c r="K1030" t="str">
        <f t="shared" si="407"/>
        <v>0</v>
      </c>
      <c r="L1030" t="str">
        <f t="shared" si="425"/>
        <v>2001/10/10 00:00:00</v>
      </c>
      <c r="M1030" t="str">
        <f>("2018/08/11 13:31:58")</f>
        <v>2018/08/11 13:31:58</v>
      </c>
      <c r="N1030" t="str">
        <f>("2000")</f>
        <v>2000</v>
      </c>
      <c r="O1030" t="str">
        <f t="shared" si="430"/>
        <v>4F西文書庫 4F Western Language Books</v>
      </c>
      <c r="P1030" t="s">
        <v>64</v>
      </c>
      <c r="W1030" t="str">
        <f t="shared" si="424"/>
        <v>美國國會圖書分類法</v>
      </c>
      <c r="Y1030" t="str">
        <f>("HF5686.C7")</f>
        <v>HF5686.C7</v>
      </c>
      <c r="Z1030" t="str">
        <f>("2018/08/11 13:31:58")</f>
        <v>2018/08/11 13:31:58</v>
      </c>
      <c r="AA1030" t="str">
        <f t="shared" si="410"/>
        <v>catc</v>
      </c>
      <c r="AC1030" t="str">
        <f>("R495")</f>
        <v>R495</v>
      </c>
      <c r="AE1030" t="str">
        <f t="shared" si="421"/>
        <v>c.1</v>
      </c>
      <c r="AF1030" t="str">
        <f t="shared" si="431"/>
        <v>1.可借圖書</v>
      </c>
      <c r="AG1030" t="str">
        <f t="shared" si="432"/>
        <v>在架</v>
      </c>
      <c r="AI1030" t="s">
        <v>65</v>
      </c>
      <c r="AK1030" t="str">
        <f t="shared" si="413"/>
        <v>一般(Normal)</v>
      </c>
      <c r="AO1030" t="s">
        <v>65</v>
      </c>
      <c r="AS1030" t="str">
        <f>("c2000.")</f>
        <v>c2000.</v>
      </c>
      <c r="AT1030" t="str">
        <f t="shared" si="414"/>
        <v>catc</v>
      </c>
    </row>
    <row r="1031" spans="2:46" x14ac:dyDescent="0.25">
      <c r="B1031" t="str">
        <f>("287808")</f>
        <v>287808</v>
      </c>
      <c r="C1031" t="str">
        <f>("W00003101")</f>
        <v>W00003101</v>
      </c>
      <c r="D1031" t="str">
        <f>("Capital market revolution :the future of markets in an online world /")</f>
        <v>Capital market revolution :the future of markets in an online world /</v>
      </c>
      <c r="E1031" t="str">
        <f>("Young, Patrick.")</f>
        <v>Young, Patrick.</v>
      </c>
      <c r="F1031" t="str">
        <f>("Financial Times/Prentice Hall,")</f>
        <v>Financial Times/Prentice Hall,</v>
      </c>
      <c r="H1031" t="str">
        <f t="shared" si="429"/>
        <v>圖書 book</v>
      </c>
      <c r="I1031" t="str">
        <f>("HG4515.95 Y75 1999")</f>
        <v>HG4515.95 Y75 1999</v>
      </c>
      <c r="J1031" t="str">
        <f>("0273642324")</f>
        <v>0273642324</v>
      </c>
      <c r="K1031" t="str">
        <f t="shared" si="407"/>
        <v>0</v>
      </c>
      <c r="L1031" t="str">
        <f t="shared" si="425"/>
        <v>2001/10/10 00:00:00</v>
      </c>
      <c r="M1031" t="str">
        <f>("2018/08/11 13:31:56")</f>
        <v>2018/08/11 13:31:56</v>
      </c>
      <c r="N1031" t="str">
        <f>("1999")</f>
        <v>1999</v>
      </c>
      <c r="O1031" t="str">
        <f t="shared" si="430"/>
        <v>4F西文書庫 4F Western Language Books</v>
      </c>
      <c r="P1031" t="s">
        <v>64</v>
      </c>
      <c r="W1031" t="str">
        <f t="shared" si="424"/>
        <v>美國國會圖書分類法</v>
      </c>
      <c r="Y1031" t="str">
        <f>("HG4515.95")</f>
        <v>HG4515.95</v>
      </c>
      <c r="Z1031" t="str">
        <f>("2018/08/11 13:31:55")</f>
        <v>2018/08/11 13:31:55</v>
      </c>
      <c r="AA1031" t="str">
        <f t="shared" si="410"/>
        <v>catc</v>
      </c>
      <c r="AC1031" t="str">
        <f>("Y75")</f>
        <v>Y75</v>
      </c>
      <c r="AE1031" t="str">
        <f t="shared" si="421"/>
        <v>c.1</v>
      </c>
      <c r="AF1031" t="str">
        <f t="shared" si="431"/>
        <v>1.可借圖書</v>
      </c>
      <c r="AG1031" t="str">
        <f t="shared" si="432"/>
        <v>在架</v>
      </c>
      <c r="AI1031" t="s">
        <v>65</v>
      </c>
      <c r="AK1031" t="str">
        <f t="shared" si="413"/>
        <v>一般(Normal)</v>
      </c>
      <c r="AO1031" t="s">
        <v>65</v>
      </c>
      <c r="AS1031" t="str">
        <f>("1999.")</f>
        <v>1999.</v>
      </c>
      <c r="AT1031" t="str">
        <f t="shared" si="414"/>
        <v>catc</v>
      </c>
    </row>
    <row r="1032" spans="2:46" x14ac:dyDescent="0.25">
      <c r="B1032" t="str">
        <f>("287807")</f>
        <v>287807</v>
      </c>
      <c r="C1032" t="str">
        <f>("W00003102")</f>
        <v>W00003102</v>
      </c>
      <c r="D1032" t="str">
        <f>("Communicating effectively /")</f>
        <v>Communicating effectively /</v>
      </c>
      <c r="E1032" t="str">
        <f>("Arredondo, Lani.")</f>
        <v>Arredondo, Lani.</v>
      </c>
      <c r="F1032" t="str">
        <f>("McGraw-Hill,")</f>
        <v>McGraw-Hill,</v>
      </c>
      <c r="H1032" t="str">
        <f t="shared" si="429"/>
        <v>圖書 book</v>
      </c>
      <c r="I1032" t="str">
        <f>("HD30.3 A774 2000")</f>
        <v>HD30.3 A774 2000</v>
      </c>
      <c r="J1032" t="str">
        <f>("0071364293")</f>
        <v>0071364293</v>
      </c>
      <c r="K1032" t="str">
        <f t="shared" si="407"/>
        <v>0</v>
      </c>
      <c r="L1032" t="str">
        <f t="shared" si="425"/>
        <v>2001/10/10 00:00:00</v>
      </c>
      <c r="M1032" t="str">
        <f>("2018/08/11 13:31:55")</f>
        <v>2018/08/11 13:31:55</v>
      </c>
      <c r="N1032" t="str">
        <f>("2000")</f>
        <v>2000</v>
      </c>
      <c r="O1032" t="str">
        <f t="shared" si="430"/>
        <v>4F西文書庫 4F Western Language Books</v>
      </c>
      <c r="P1032" t="s">
        <v>64</v>
      </c>
      <c r="W1032" t="str">
        <f t="shared" si="424"/>
        <v>美國國會圖書分類法</v>
      </c>
      <c r="Y1032" t="str">
        <f>("HD30.3")</f>
        <v>HD30.3</v>
      </c>
      <c r="Z1032" t="str">
        <f>("2018/08/11 13:31:55")</f>
        <v>2018/08/11 13:31:55</v>
      </c>
      <c r="AA1032" t="str">
        <f t="shared" si="410"/>
        <v>catc</v>
      </c>
      <c r="AC1032" t="str">
        <f>("A774")</f>
        <v>A774</v>
      </c>
      <c r="AE1032" t="str">
        <f t="shared" si="421"/>
        <v>c.1</v>
      </c>
      <c r="AF1032" t="str">
        <f t="shared" si="431"/>
        <v>1.可借圖書</v>
      </c>
      <c r="AG1032" t="str">
        <f t="shared" si="432"/>
        <v>在架</v>
      </c>
      <c r="AI1032" t="s">
        <v>65</v>
      </c>
      <c r="AK1032" t="str">
        <f t="shared" si="413"/>
        <v>一般(Normal)</v>
      </c>
      <c r="AO1032" t="s">
        <v>65</v>
      </c>
      <c r="AS1032" t="str">
        <f>("2000.")</f>
        <v>2000.</v>
      </c>
      <c r="AT1032" t="str">
        <f t="shared" si="414"/>
        <v>catc</v>
      </c>
    </row>
    <row r="1033" spans="2:46" x14ac:dyDescent="0.25">
      <c r="B1033" t="str">
        <f>("287837")</f>
        <v>287837</v>
      </c>
      <c r="C1033" t="str">
        <f>("W00003103")</f>
        <v>W00003103</v>
      </c>
      <c r="D1033" t="str">
        <f>("Effective presentation :powerful ways to make your presentations more effective /")</f>
        <v>Effective presentation :powerful ways to make your presentations more effective /</v>
      </c>
      <c r="E1033" t="str">
        <f>("Jay, Antony,1930-")</f>
        <v>Jay, Antony,1930-</v>
      </c>
      <c r="F1033" t="str">
        <f>("Prentive Hall,")</f>
        <v>Prentive Hall,</v>
      </c>
      <c r="H1033" t="str">
        <f t="shared" si="429"/>
        <v>圖書 book</v>
      </c>
      <c r="I1033" t="str">
        <f>("HF5718.22 J42 2000")</f>
        <v>HF5718.22 J42 2000</v>
      </c>
      <c r="J1033" t="str">
        <f>("027364498X")</f>
        <v>027364498X</v>
      </c>
      <c r="K1033" t="str">
        <f t="shared" si="407"/>
        <v>0</v>
      </c>
      <c r="L1033" t="str">
        <f t="shared" si="425"/>
        <v>2001/10/10 00:00:00</v>
      </c>
      <c r="M1033" t="str">
        <f>("2018/08/11 13:31:58")</f>
        <v>2018/08/11 13:31:58</v>
      </c>
      <c r="N1033" t="str">
        <f>("2000")</f>
        <v>2000</v>
      </c>
      <c r="O1033" t="str">
        <f t="shared" si="430"/>
        <v>4F西文書庫 4F Western Language Books</v>
      </c>
      <c r="P1033" t="s">
        <v>64</v>
      </c>
      <c r="W1033" t="str">
        <f t="shared" si="424"/>
        <v>美國國會圖書分類法</v>
      </c>
      <c r="Y1033" t="str">
        <f>("HF5718.22")</f>
        <v>HF5718.22</v>
      </c>
      <c r="Z1033" t="str">
        <f>("2018/08/11 13:31:58")</f>
        <v>2018/08/11 13:31:58</v>
      </c>
      <c r="AA1033" t="str">
        <f t="shared" si="410"/>
        <v>catc</v>
      </c>
      <c r="AC1033" t="str">
        <f>("J42")</f>
        <v>J42</v>
      </c>
      <c r="AE1033" t="str">
        <f t="shared" si="421"/>
        <v>c.1</v>
      </c>
      <c r="AF1033" t="str">
        <f t="shared" si="431"/>
        <v>1.可借圖書</v>
      </c>
      <c r="AG1033" t="str">
        <f t="shared" si="432"/>
        <v>在架</v>
      </c>
      <c r="AI1033" t="s">
        <v>65</v>
      </c>
      <c r="AK1033" t="str">
        <f t="shared" si="413"/>
        <v>一般(Normal)</v>
      </c>
      <c r="AO1033" t="s">
        <v>65</v>
      </c>
      <c r="AS1033" t="str">
        <f>("2000.")</f>
        <v>2000.</v>
      </c>
      <c r="AT1033" t="str">
        <f t="shared" si="414"/>
        <v>catc</v>
      </c>
    </row>
    <row r="1034" spans="2:46" x14ac:dyDescent="0.25">
      <c r="B1034" t="str">
        <f>("287806")</f>
        <v>287806</v>
      </c>
      <c r="C1034" t="str">
        <f>("W00003104")</f>
        <v>W00003104</v>
      </c>
      <c r="D1034" t="str">
        <f>("The era of Jiang Zemin /")</f>
        <v>The era of Jiang Zemin /</v>
      </c>
      <c r="E1034" t="str">
        <f>("Lam, Willy Wo-Lap.")</f>
        <v>Lam, Willy Wo-Lap.</v>
      </c>
      <c r="F1034" t="str">
        <f>("Prentice Hall,")</f>
        <v>Prentice Hall,</v>
      </c>
      <c r="H1034" t="str">
        <f t="shared" si="429"/>
        <v>圖書 book</v>
      </c>
      <c r="I1034" t="str">
        <f>("DS779.2 L213 1999")</f>
        <v>DS779.2 L213 1999</v>
      </c>
      <c r="J1034" t="str">
        <f>("0130837016")</f>
        <v>0130837016</v>
      </c>
      <c r="K1034" t="str">
        <f t="shared" si="407"/>
        <v>0</v>
      </c>
      <c r="L1034" t="str">
        <f t="shared" si="425"/>
        <v>2001/10/10 00:00:00</v>
      </c>
      <c r="M1034" t="str">
        <f>("2018/08/11 13:31:55")</f>
        <v>2018/08/11 13:31:55</v>
      </c>
      <c r="N1034" t="str">
        <f>("1999")</f>
        <v>1999</v>
      </c>
      <c r="O1034" t="str">
        <f t="shared" si="430"/>
        <v>4F西文書庫 4F Western Language Books</v>
      </c>
      <c r="P1034" t="s">
        <v>64</v>
      </c>
      <c r="W1034" t="str">
        <f t="shared" si="424"/>
        <v>美國國會圖書分類法</v>
      </c>
      <c r="Y1034" t="str">
        <f>("DS779.2")</f>
        <v>DS779.2</v>
      </c>
      <c r="Z1034" t="str">
        <f>("2018/08/11 13:31:55")</f>
        <v>2018/08/11 13:31:55</v>
      </c>
      <c r="AA1034" t="str">
        <f t="shared" si="410"/>
        <v>catc</v>
      </c>
      <c r="AC1034" t="str">
        <f>("L213")</f>
        <v>L213</v>
      </c>
      <c r="AE1034" t="str">
        <f t="shared" si="421"/>
        <v>c.1</v>
      </c>
      <c r="AF1034" t="str">
        <f t="shared" si="431"/>
        <v>1.可借圖書</v>
      </c>
      <c r="AG1034" t="str">
        <f t="shared" si="432"/>
        <v>在架</v>
      </c>
      <c r="AI1034" t="s">
        <v>65</v>
      </c>
      <c r="AK1034" t="str">
        <f t="shared" si="413"/>
        <v>一般(Normal)</v>
      </c>
      <c r="AO1034" t="s">
        <v>65</v>
      </c>
      <c r="AS1034" t="str">
        <f>("1999.")</f>
        <v>1999.</v>
      </c>
      <c r="AT1034" t="str">
        <f t="shared" si="414"/>
        <v>catc</v>
      </c>
    </row>
    <row r="1035" spans="2:46" x14ac:dyDescent="0.25">
      <c r="B1035" t="str">
        <f>("287805")</f>
        <v>287805</v>
      </c>
      <c r="C1035" t="str">
        <f>("W00003105")</f>
        <v>W00003105</v>
      </c>
      <c r="D1035" t="str">
        <f>("Good to talk? :living and working in a communication culture /")</f>
        <v>Good to talk? :living and working in a communication culture /</v>
      </c>
      <c r="E1035" t="str">
        <f>("Cameron, Deborah,1958-")</f>
        <v>Cameron, Deborah,1958-</v>
      </c>
      <c r="F1035" t="str">
        <f>("Sage Publications,")</f>
        <v>Sage Publications,</v>
      </c>
      <c r="H1035" t="str">
        <f t="shared" si="429"/>
        <v>圖書 book</v>
      </c>
      <c r="I1035" t="str">
        <f>("P90 C182 2000")</f>
        <v>P90 C182 2000</v>
      </c>
      <c r="J1035" t="str">
        <f>("0761957707;0761957715")</f>
        <v>0761957707;0761957715</v>
      </c>
      <c r="K1035" t="str">
        <f t="shared" si="407"/>
        <v>0</v>
      </c>
      <c r="L1035" t="str">
        <f t="shared" si="425"/>
        <v>2001/10/10 00:00:00</v>
      </c>
      <c r="M1035" t="str">
        <f>("2018/08/11 13:31:55")</f>
        <v>2018/08/11 13:31:55</v>
      </c>
      <c r="N1035" t="str">
        <f>("2000")</f>
        <v>2000</v>
      </c>
      <c r="O1035" t="str">
        <f t="shared" si="430"/>
        <v>4F西文書庫 4F Western Language Books</v>
      </c>
      <c r="P1035" t="s">
        <v>64</v>
      </c>
      <c r="W1035" t="str">
        <f t="shared" si="424"/>
        <v>美國國會圖書分類法</v>
      </c>
      <c r="Y1035" t="str">
        <f>("P90")</f>
        <v>P90</v>
      </c>
      <c r="Z1035" t="str">
        <f>("2018/08/11 13:31:55")</f>
        <v>2018/08/11 13:31:55</v>
      </c>
      <c r="AA1035" t="str">
        <f t="shared" si="410"/>
        <v>catc</v>
      </c>
      <c r="AC1035" t="str">
        <f>("C182")</f>
        <v>C182</v>
      </c>
      <c r="AE1035" t="str">
        <f t="shared" si="421"/>
        <v>c.1</v>
      </c>
      <c r="AF1035" t="str">
        <f t="shared" si="431"/>
        <v>1.可借圖書</v>
      </c>
      <c r="AG1035" t="str">
        <f t="shared" si="432"/>
        <v>在架</v>
      </c>
      <c r="AI1035" t="s">
        <v>65</v>
      </c>
      <c r="AK1035" t="str">
        <f t="shared" si="413"/>
        <v>一般(Normal)</v>
      </c>
      <c r="AO1035" t="s">
        <v>65</v>
      </c>
      <c r="AS1035" t="str">
        <f>("2000.")</f>
        <v>2000.</v>
      </c>
      <c r="AT1035" t="str">
        <f t="shared" si="414"/>
        <v>catc</v>
      </c>
    </row>
    <row r="1036" spans="2:46" x14ac:dyDescent="0.25">
      <c r="B1036" t="str">
        <f>("287821")</f>
        <v>287821</v>
      </c>
      <c r="C1036" t="str">
        <f>("W00003106")</f>
        <v>W00003106</v>
      </c>
      <c r="D1036" t="str">
        <f>("How to write a.com business plan :the Internat entrepreneur's guide to everything you need to know about business plans and financing options /")</f>
        <v>How to write a.com business plan :the Internat entrepreneur's guide to everything you need to know about business plans and financing options /</v>
      </c>
      <c r="E1036" t="str">
        <f>("Eglash, Joanne.")</f>
        <v>Eglash, Joanne.</v>
      </c>
      <c r="F1036" t="str">
        <f>("McGraw-Hill,")</f>
        <v>McGraw-Hill,</v>
      </c>
      <c r="H1036" t="str">
        <f t="shared" si="429"/>
        <v>圖書 book</v>
      </c>
      <c r="I1036" t="str">
        <f>("HF5548.32 E31 2001")</f>
        <v>HF5548.32 E31 2001</v>
      </c>
      <c r="J1036" t="str">
        <f>("007135753X")</f>
        <v>007135753X</v>
      </c>
      <c r="K1036" t="str">
        <f t="shared" si="407"/>
        <v>0</v>
      </c>
      <c r="L1036" t="str">
        <f t="shared" si="425"/>
        <v>2001/10/10 00:00:00</v>
      </c>
      <c r="M1036" t="str">
        <f>("2018/08/11 13:31:55")</f>
        <v>2018/08/11 13:31:55</v>
      </c>
      <c r="N1036" t="str">
        <f>("2001")</f>
        <v>2001</v>
      </c>
      <c r="O1036" t="str">
        <f t="shared" si="430"/>
        <v>4F西文書庫 4F Western Language Books</v>
      </c>
      <c r="P1036" t="s">
        <v>64</v>
      </c>
      <c r="W1036" t="str">
        <f t="shared" si="424"/>
        <v>美國國會圖書分類法</v>
      </c>
      <c r="Y1036" t="str">
        <f>("HF5548.32")</f>
        <v>HF5548.32</v>
      </c>
      <c r="Z1036" t="str">
        <f>("2018/08/11 13:31:55")</f>
        <v>2018/08/11 13:31:55</v>
      </c>
      <c r="AA1036" t="str">
        <f t="shared" si="410"/>
        <v>catc</v>
      </c>
      <c r="AC1036" t="str">
        <f>("E31")</f>
        <v>E31</v>
      </c>
      <c r="AE1036" t="str">
        <f t="shared" si="421"/>
        <v>c.1</v>
      </c>
      <c r="AF1036" t="str">
        <f t="shared" si="431"/>
        <v>1.可借圖書</v>
      </c>
      <c r="AG1036" t="str">
        <f t="shared" si="432"/>
        <v>在架</v>
      </c>
      <c r="AI1036" t="s">
        <v>65</v>
      </c>
      <c r="AK1036" t="str">
        <f t="shared" si="413"/>
        <v>一般(Normal)</v>
      </c>
      <c r="AO1036" t="s">
        <v>65</v>
      </c>
      <c r="AS1036" t="str">
        <f>("c2001.")</f>
        <v>c2001.</v>
      </c>
      <c r="AT1036" t="str">
        <f t="shared" si="414"/>
        <v>catc</v>
      </c>
    </row>
    <row r="1037" spans="2:46" x14ac:dyDescent="0.25">
      <c r="B1037" t="str">
        <f>("288796")</f>
        <v>288796</v>
      </c>
      <c r="C1037" t="str">
        <f>("W00003107")</f>
        <v>W00003107</v>
      </c>
      <c r="D1037" t="str">
        <f>("International business : a strategic management approach / ")</f>
        <v xml:space="preserve">International business : a strategic management approach / </v>
      </c>
      <c r="E1037" t="str">
        <f>("Rugman, Alan M. ")</f>
        <v xml:space="preserve">Rugman, Alan M. </v>
      </c>
      <c r="F1037" t="str">
        <f>("Financial Times/Prentice Hall, ")</f>
        <v xml:space="preserve">Financial Times/Prentice Hall, </v>
      </c>
      <c r="G1037" t="str">
        <f>("2nd ed. ")</f>
        <v xml:space="preserve">2nd ed. </v>
      </c>
      <c r="H1037" t="str">
        <f t="shared" si="429"/>
        <v>圖書 book</v>
      </c>
      <c r="I1037" t="str">
        <f>("HD62.4 R932 2000")</f>
        <v>HD62.4 R932 2000</v>
      </c>
      <c r="J1037" t="str">
        <f>("0273638971")</f>
        <v>0273638971</v>
      </c>
      <c r="K1037" t="str">
        <f t="shared" si="407"/>
        <v>0</v>
      </c>
      <c r="L1037" t="str">
        <f t="shared" si="425"/>
        <v>2001/10/10 00:00:00</v>
      </c>
      <c r="M1037" t="str">
        <f>("2018/08/11 13:33:34")</f>
        <v>2018/08/11 13:33:34</v>
      </c>
      <c r="N1037" t="str">
        <f>("2000")</f>
        <v>2000</v>
      </c>
      <c r="O1037" t="str">
        <f t="shared" si="430"/>
        <v>4F西文書庫 4F Western Language Books</v>
      </c>
      <c r="P1037" t="s">
        <v>64</v>
      </c>
      <c r="S1037" t="str">
        <f>("xxvi, 637 p. : ")</f>
        <v xml:space="preserve">xxvi, 637 p. : </v>
      </c>
      <c r="T1037" t="str">
        <f>("col. ill., col. maps ; ")</f>
        <v xml:space="preserve">col. ill., col. maps ; </v>
      </c>
      <c r="U1037" t="str">
        <f>("24 cm. ")</f>
        <v xml:space="preserve">24 cm. </v>
      </c>
      <c r="W1037" t="str">
        <f t="shared" si="424"/>
        <v>美國國會圖書分類法</v>
      </c>
      <c r="Y1037" t="str">
        <f>("HD62.4")</f>
        <v>HD62.4</v>
      </c>
      <c r="Z1037" t="str">
        <f>("2018/08/11 13:33:34")</f>
        <v>2018/08/11 13:33:34</v>
      </c>
      <c r="AA1037" t="str">
        <f t="shared" si="410"/>
        <v>catc</v>
      </c>
      <c r="AC1037" t="str">
        <f>("R932")</f>
        <v>R932</v>
      </c>
      <c r="AE1037" t="str">
        <f t="shared" si="421"/>
        <v>c.1</v>
      </c>
      <c r="AF1037" t="str">
        <f t="shared" si="431"/>
        <v>1.可借圖書</v>
      </c>
      <c r="AG1037" t="str">
        <f t="shared" si="432"/>
        <v>在架</v>
      </c>
      <c r="AI1037" t="s">
        <v>65</v>
      </c>
      <c r="AK1037" t="str">
        <f t="shared" si="413"/>
        <v>一般(Normal)</v>
      </c>
      <c r="AO1037" t="s">
        <v>65</v>
      </c>
      <c r="AS1037" t="str">
        <f>("2000. ")</f>
        <v xml:space="preserve">2000. </v>
      </c>
      <c r="AT1037" t="str">
        <f t="shared" si="414"/>
        <v>catc</v>
      </c>
    </row>
    <row r="1038" spans="2:46" x14ac:dyDescent="0.25">
      <c r="B1038" t="str">
        <f>("290515")</f>
        <v>290515</v>
      </c>
      <c r="C1038" t="str">
        <f>("W00003108")</f>
        <v>W00003108</v>
      </c>
      <c r="D1038" t="str">
        <f>("IT2010 :beyond the Web lifestyle /")</f>
        <v>IT2010 :beyond the Web lifestyle /</v>
      </c>
      <c r="E1038" t="str">
        <f>("Khoong, Chan Meng.")</f>
        <v>Khoong, Chan Meng.</v>
      </c>
      <c r="F1038" t="str">
        <f>("Prentice Hall,")</f>
        <v>Prentice Hall,</v>
      </c>
      <c r="H1038" t="str">
        <f t="shared" si="429"/>
        <v>圖書 book</v>
      </c>
      <c r="I1038" t="str">
        <f>("T58.5 I88 1999")</f>
        <v>T58.5 I88 1999</v>
      </c>
      <c r="J1038" t="str">
        <f>("013017937X")</f>
        <v>013017937X</v>
      </c>
      <c r="K1038" t="str">
        <f t="shared" si="407"/>
        <v>0</v>
      </c>
      <c r="L1038" t="str">
        <f>("2001/10/16 00:00:00")</f>
        <v>2001/10/16 00:00:00</v>
      </c>
      <c r="M1038" t="str">
        <f>("2018/08/11 13:36:32")</f>
        <v>2018/08/11 13:36:32</v>
      </c>
      <c r="N1038" t="str">
        <f>("1999")</f>
        <v>1999</v>
      </c>
      <c r="O1038" t="str">
        <f t="shared" si="430"/>
        <v>4F西文書庫 4F Western Language Books</v>
      </c>
      <c r="P1038" t="s">
        <v>64</v>
      </c>
      <c r="W1038" t="str">
        <f t="shared" si="424"/>
        <v>美國國會圖書分類法</v>
      </c>
      <c r="Y1038" t="str">
        <f>("T58.5")</f>
        <v>T58.5</v>
      </c>
      <c r="Z1038" t="str">
        <f>("2018/08/11 13:36:32")</f>
        <v>2018/08/11 13:36:32</v>
      </c>
      <c r="AA1038" t="str">
        <f t="shared" si="410"/>
        <v>catc</v>
      </c>
      <c r="AC1038" t="str">
        <f>("I88")</f>
        <v>I88</v>
      </c>
      <c r="AE1038" t="str">
        <f t="shared" si="421"/>
        <v>c.1</v>
      </c>
      <c r="AF1038" t="str">
        <f t="shared" si="431"/>
        <v>1.可借圖書</v>
      </c>
      <c r="AG1038" t="str">
        <f t="shared" si="432"/>
        <v>在架</v>
      </c>
      <c r="AI1038" t="s">
        <v>65</v>
      </c>
      <c r="AK1038" t="str">
        <f t="shared" si="413"/>
        <v>一般(Normal)</v>
      </c>
      <c r="AO1038" t="s">
        <v>65</v>
      </c>
      <c r="AS1038" t="str">
        <f>("1999.")</f>
        <v>1999.</v>
      </c>
      <c r="AT1038" t="str">
        <f t="shared" si="414"/>
        <v>catc</v>
      </c>
    </row>
    <row r="1039" spans="2:46" x14ac:dyDescent="0.25">
      <c r="B1039" t="str">
        <f>("287809")</f>
        <v>287809</v>
      </c>
      <c r="C1039" t="str">
        <f>("W00003109")</f>
        <v>W00003109</v>
      </c>
      <c r="D1039" t="str">
        <f>("The leadership gene :the genetic code of a life-long leadership career /")</f>
        <v>The leadership gene :the genetic code of a life-long leadership career /</v>
      </c>
      <c r="E1039" t="str">
        <f>("Levicki, Cyril.")</f>
        <v>Levicki, Cyril.</v>
      </c>
      <c r="F1039" t="str">
        <f>("Financial Times Pitman,")</f>
        <v>Financial Times Pitman,</v>
      </c>
      <c r="H1039" t="str">
        <f t="shared" si="429"/>
        <v>圖書 book</v>
      </c>
      <c r="I1039" t="str">
        <f>("HD57.7 L664 1998")</f>
        <v>HD57.7 L664 1998</v>
      </c>
      <c r="J1039" t="str">
        <f>("0273635573")</f>
        <v>0273635573</v>
      </c>
      <c r="K1039" t="str">
        <f t="shared" si="407"/>
        <v>0</v>
      </c>
      <c r="L1039" t="str">
        <f>("2001/10/10 00:00:00")</f>
        <v>2001/10/10 00:00:00</v>
      </c>
      <c r="M1039" t="str">
        <f>("2018/08/11 13:31:56")</f>
        <v>2018/08/11 13:31:56</v>
      </c>
      <c r="N1039" t="str">
        <f>("1998")</f>
        <v>1998</v>
      </c>
      <c r="O1039" t="str">
        <f t="shared" si="430"/>
        <v>4F西文書庫 4F Western Language Books</v>
      </c>
      <c r="P1039" t="s">
        <v>64</v>
      </c>
      <c r="W1039" t="str">
        <f t="shared" si="424"/>
        <v>美國國會圖書分類法</v>
      </c>
      <c r="Y1039" t="str">
        <f>("HD57.7")</f>
        <v>HD57.7</v>
      </c>
      <c r="Z1039" t="str">
        <f>("2018/08/11 13:31:56")</f>
        <v>2018/08/11 13:31:56</v>
      </c>
      <c r="AA1039" t="str">
        <f t="shared" si="410"/>
        <v>catc</v>
      </c>
      <c r="AC1039" t="str">
        <f>("L664")</f>
        <v>L664</v>
      </c>
      <c r="AE1039" t="str">
        <f t="shared" si="421"/>
        <v>c.1</v>
      </c>
      <c r="AF1039" t="str">
        <f t="shared" si="431"/>
        <v>1.可借圖書</v>
      </c>
      <c r="AG1039" t="str">
        <f t="shared" si="432"/>
        <v>在架</v>
      </c>
      <c r="AI1039" t="s">
        <v>65</v>
      </c>
      <c r="AK1039" t="str">
        <f t="shared" si="413"/>
        <v>一般(Normal)</v>
      </c>
      <c r="AO1039" t="s">
        <v>65</v>
      </c>
      <c r="AS1039" t="str">
        <f>("1998.")</f>
        <v>1998.</v>
      </c>
      <c r="AT1039" t="str">
        <f t="shared" si="414"/>
        <v>catc</v>
      </c>
    </row>
    <row r="1040" spans="2:46" x14ac:dyDescent="0.25">
      <c r="B1040" t="str">
        <f>("287841")</f>
        <v>287841</v>
      </c>
      <c r="C1040" t="str">
        <f>("W00003110")</f>
        <v>W00003110</v>
      </c>
      <c r="D1040" t="str">
        <f>("Living the brand :how to transform every member of your organization into a brand champion /")</f>
        <v>Living the brand :how to transform every member of your organization into a brand champion /</v>
      </c>
      <c r="E1040" t="str">
        <f>("Ind, Nicholas.")</f>
        <v>Ind, Nicholas.</v>
      </c>
      <c r="F1040" t="str">
        <f>("Kogan Page in association with Marketing,")</f>
        <v>Kogan Page in association with Marketing,</v>
      </c>
      <c r="H1040" t="str">
        <f t="shared" si="429"/>
        <v>圖書 book</v>
      </c>
      <c r="I1040" t="str">
        <f>("HD69.B7 I38 2001")</f>
        <v>HD69.B7 I38 2001</v>
      </c>
      <c r="J1040" t="str">
        <f>("0749433515")</f>
        <v>0749433515</v>
      </c>
      <c r="K1040" t="str">
        <f t="shared" ref="K1040:K1103" si="433">("0")</f>
        <v>0</v>
      </c>
      <c r="L1040" t="str">
        <f>("2001/10/10 00:00:00")</f>
        <v>2001/10/10 00:00:00</v>
      </c>
      <c r="M1040" t="str">
        <f>("2018/08/11 13:31:58")</f>
        <v>2018/08/11 13:31:58</v>
      </c>
      <c r="N1040" t="str">
        <f>("2001")</f>
        <v>2001</v>
      </c>
      <c r="O1040" t="str">
        <f t="shared" si="430"/>
        <v>4F西文書庫 4F Western Language Books</v>
      </c>
      <c r="P1040" t="s">
        <v>64</v>
      </c>
      <c r="W1040" t="str">
        <f t="shared" si="424"/>
        <v>美國國會圖書分類法</v>
      </c>
      <c r="Y1040" t="str">
        <f>("HD69.B7")</f>
        <v>HD69.B7</v>
      </c>
      <c r="Z1040" t="str">
        <f>("2018/08/11 13:31:58")</f>
        <v>2018/08/11 13:31:58</v>
      </c>
      <c r="AA1040" t="str">
        <f t="shared" ref="AA1040:AA1103" si="434">("catc")</f>
        <v>catc</v>
      </c>
      <c r="AC1040" t="str">
        <f>("I38")</f>
        <v>I38</v>
      </c>
      <c r="AE1040" t="str">
        <f t="shared" si="421"/>
        <v>c.1</v>
      </c>
      <c r="AF1040" t="str">
        <f t="shared" si="431"/>
        <v>1.可借圖書</v>
      </c>
      <c r="AG1040" t="str">
        <f t="shared" si="432"/>
        <v>在架</v>
      </c>
      <c r="AI1040" t="s">
        <v>65</v>
      </c>
      <c r="AK1040" t="str">
        <f t="shared" ref="AK1040:AK1103" si="435">("一般(Normal)")</f>
        <v>一般(Normal)</v>
      </c>
      <c r="AO1040" t="s">
        <v>65</v>
      </c>
      <c r="AS1040" t="str">
        <f>("2001.")</f>
        <v>2001.</v>
      </c>
      <c r="AT1040" t="str">
        <f t="shared" ref="AT1040:AT1103" si="436">("catc")</f>
        <v>catc</v>
      </c>
    </row>
    <row r="1041" spans="2:46" x14ac:dyDescent="0.25">
      <c r="B1041" t="str">
        <f>("287838")</f>
        <v>287838</v>
      </c>
      <c r="C1041" t="str">
        <f>("W00003111")</f>
        <v>W00003111</v>
      </c>
      <c r="D1041" t="str">
        <f>("Manipulating meetings :how to get what you want, when you want it /")</f>
        <v>Manipulating meetings :how to get what you want, when you want it /</v>
      </c>
      <c r="E1041" t="str">
        <f>("Martin, David M.")</f>
        <v>Martin, David M.</v>
      </c>
      <c r="F1041" t="str">
        <f>("Prentice Hall,")</f>
        <v>Prentice Hall,</v>
      </c>
      <c r="H1041" t="str">
        <f t="shared" si="429"/>
        <v>圖書 book</v>
      </c>
      <c r="I1041" t="str">
        <f>("HF5734.5 M379 2000")</f>
        <v>HF5734.5 M379 2000</v>
      </c>
      <c r="J1041" t="str">
        <f>("0273645005")</f>
        <v>0273645005</v>
      </c>
      <c r="K1041" t="str">
        <f t="shared" si="433"/>
        <v>0</v>
      </c>
      <c r="L1041" t="str">
        <f>("2001/10/10 00:00:00")</f>
        <v>2001/10/10 00:00:00</v>
      </c>
      <c r="M1041" t="str">
        <f>("2018/08/11 13:31:58")</f>
        <v>2018/08/11 13:31:58</v>
      </c>
      <c r="N1041" t="str">
        <f>("2000")</f>
        <v>2000</v>
      </c>
      <c r="O1041" t="str">
        <f t="shared" si="430"/>
        <v>4F西文書庫 4F Western Language Books</v>
      </c>
      <c r="P1041" t="s">
        <v>64</v>
      </c>
      <c r="W1041" t="str">
        <f t="shared" si="424"/>
        <v>美國國會圖書分類法</v>
      </c>
      <c r="Y1041" t="str">
        <f>("HF5734.5")</f>
        <v>HF5734.5</v>
      </c>
      <c r="Z1041" t="str">
        <f>("2018/08/11 13:31:58")</f>
        <v>2018/08/11 13:31:58</v>
      </c>
      <c r="AA1041" t="str">
        <f t="shared" si="434"/>
        <v>catc</v>
      </c>
      <c r="AC1041" t="str">
        <f>("M379")</f>
        <v>M379</v>
      </c>
      <c r="AE1041" t="str">
        <f t="shared" si="421"/>
        <v>c.1</v>
      </c>
      <c r="AF1041" t="str">
        <f t="shared" si="431"/>
        <v>1.可借圖書</v>
      </c>
      <c r="AG1041" t="str">
        <f t="shared" si="432"/>
        <v>在架</v>
      </c>
      <c r="AI1041" t="s">
        <v>65</v>
      </c>
      <c r="AK1041" t="str">
        <f t="shared" si="435"/>
        <v>一般(Normal)</v>
      </c>
      <c r="AO1041" t="s">
        <v>65</v>
      </c>
      <c r="AS1041" t="str">
        <f>("2000.")</f>
        <v>2000.</v>
      </c>
      <c r="AT1041" t="str">
        <f t="shared" si="436"/>
        <v>catc</v>
      </c>
    </row>
    <row r="1042" spans="2:46" x14ac:dyDescent="0.25">
      <c r="B1042" t="str">
        <f>("290514")</f>
        <v>290514</v>
      </c>
      <c r="C1042" t="str">
        <f>("W00003112")</f>
        <v>W00003112</v>
      </c>
      <c r="D1042" t="str">
        <f>("Mastering information management /")</f>
        <v>Mastering information management /</v>
      </c>
      <c r="E1042" t="str">
        <f>("Davenport, Thomas H.,1954-;Marchand, Donald A.")</f>
        <v>Davenport, Thomas H.,1954-;Marchand, Donald A.</v>
      </c>
      <c r="F1042" t="str">
        <f>("Financial Times/Prentice Hall,")</f>
        <v>Financial Times/Prentice Hall,</v>
      </c>
      <c r="H1042" t="str">
        <f t="shared" si="429"/>
        <v>圖書 book</v>
      </c>
      <c r="I1042" t="str">
        <f>("T58.64 M423 2000")</f>
        <v>T58.64 M423 2000</v>
      </c>
      <c r="J1042" t="str">
        <f>("0273643525;027364355X")</f>
        <v>0273643525;027364355X</v>
      </c>
      <c r="K1042" t="str">
        <f t="shared" si="433"/>
        <v>0</v>
      </c>
      <c r="L1042" t="str">
        <f>("2001/10/16 00:00:00")</f>
        <v>2001/10/16 00:00:00</v>
      </c>
      <c r="M1042" t="str">
        <f>("2018/08/11 13:36:32")</f>
        <v>2018/08/11 13:36:32</v>
      </c>
      <c r="N1042" t="str">
        <f>("2000")</f>
        <v>2000</v>
      </c>
      <c r="O1042" t="str">
        <f t="shared" si="430"/>
        <v>4F西文書庫 4F Western Language Books</v>
      </c>
      <c r="P1042" t="s">
        <v>64</v>
      </c>
      <c r="W1042" t="str">
        <f t="shared" si="424"/>
        <v>美國國會圖書分類法</v>
      </c>
      <c r="Y1042" t="str">
        <f>("T58.64")</f>
        <v>T58.64</v>
      </c>
      <c r="Z1042" t="str">
        <f>("2018/08/11 13:36:32")</f>
        <v>2018/08/11 13:36:32</v>
      </c>
      <c r="AA1042" t="str">
        <f t="shared" si="434"/>
        <v>catc</v>
      </c>
      <c r="AC1042" t="str">
        <f>("M423")</f>
        <v>M423</v>
      </c>
      <c r="AE1042" t="str">
        <f t="shared" si="421"/>
        <v>c.1</v>
      </c>
      <c r="AF1042" t="str">
        <f t="shared" si="431"/>
        <v>1.可借圖書</v>
      </c>
      <c r="AG1042" t="str">
        <f t="shared" si="432"/>
        <v>在架</v>
      </c>
      <c r="AI1042" t="s">
        <v>65</v>
      </c>
      <c r="AK1042" t="str">
        <f t="shared" si="435"/>
        <v>一般(Normal)</v>
      </c>
      <c r="AO1042" t="s">
        <v>65</v>
      </c>
      <c r="AS1042" t="str">
        <f>("2000.")</f>
        <v>2000.</v>
      </c>
      <c r="AT1042" t="str">
        <f t="shared" si="436"/>
        <v>catc</v>
      </c>
    </row>
    <row r="1043" spans="2:46" x14ac:dyDescent="0.25">
      <c r="B1043" t="str">
        <f>("292198")</f>
        <v>292198</v>
      </c>
      <c r="C1043" t="str">
        <f>("W00003113")</f>
        <v>W00003113</v>
      </c>
      <c r="D1043" t="str">
        <f>("Net worth :shaping markets when customers make the rules /")</f>
        <v>Net worth :shaping markets when customers make the rules /</v>
      </c>
      <c r="E1043" t="str">
        <f>("Hagel, John.")</f>
        <v>Hagel, John.</v>
      </c>
      <c r="F1043" t="str">
        <f>("Harvard Business School Press,")</f>
        <v>Harvard Business School Press,</v>
      </c>
      <c r="H1043" t="str">
        <f t="shared" si="429"/>
        <v>圖書 book</v>
      </c>
      <c r="I1043" t="str">
        <f>("HF5415.124 H141 1999")</f>
        <v>HF5415.124 H141 1999</v>
      </c>
      <c r="J1043" t="str">
        <f>("0875848893")</f>
        <v>0875848893</v>
      </c>
      <c r="K1043" t="str">
        <f t="shared" si="433"/>
        <v>0</v>
      </c>
      <c r="L1043" t="str">
        <f>("2001/10/10 00:00:00")</f>
        <v>2001/10/10 00:00:00</v>
      </c>
      <c r="M1043" t="str">
        <f>("2018/08/11 13:39:47")</f>
        <v>2018/08/11 13:39:47</v>
      </c>
      <c r="N1043" t="str">
        <f>("1999")</f>
        <v>1999</v>
      </c>
      <c r="O1043" t="str">
        <f t="shared" si="430"/>
        <v>4F西文書庫 4F Western Language Books</v>
      </c>
      <c r="P1043" t="s">
        <v>64</v>
      </c>
      <c r="S1043" t="str">
        <f>("xx, 313 p. :")</f>
        <v>xx, 313 p. :</v>
      </c>
      <c r="T1043" t="str">
        <f>("ill. ;")</f>
        <v>ill. ;</v>
      </c>
      <c r="U1043" t="str">
        <f>("24 cm.")</f>
        <v>24 cm.</v>
      </c>
      <c r="W1043" t="str">
        <f t="shared" si="424"/>
        <v>美國國會圖書分類法</v>
      </c>
      <c r="Y1043" t="str">
        <f>("HF5415.124")</f>
        <v>HF5415.124</v>
      </c>
      <c r="Z1043" t="str">
        <f>("2018/08/11 13:39:47")</f>
        <v>2018/08/11 13:39:47</v>
      </c>
      <c r="AA1043" t="str">
        <f t="shared" si="434"/>
        <v>catc</v>
      </c>
      <c r="AC1043" t="str">
        <f>("H141")</f>
        <v>H141</v>
      </c>
      <c r="AE1043" t="str">
        <f t="shared" si="421"/>
        <v>c.1</v>
      </c>
      <c r="AF1043" t="str">
        <f t="shared" si="431"/>
        <v>1.可借圖書</v>
      </c>
      <c r="AG1043" t="str">
        <f t="shared" si="432"/>
        <v>在架</v>
      </c>
      <c r="AI1043" t="s">
        <v>65</v>
      </c>
      <c r="AK1043" t="str">
        <f t="shared" si="435"/>
        <v>一般(Normal)</v>
      </c>
      <c r="AO1043" t="s">
        <v>65</v>
      </c>
      <c r="AS1043" t="str">
        <f>("c1999.")</f>
        <v>c1999.</v>
      </c>
      <c r="AT1043" t="str">
        <f t="shared" si="436"/>
        <v>catc</v>
      </c>
    </row>
    <row r="1044" spans="2:46" x14ac:dyDescent="0.25">
      <c r="B1044" t="str">
        <f>("287840")</f>
        <v>287840</v>
      </c>
      <c r="C1044" t="str">
        <f>("W00003114")</f>
        <v>W00003114</v>
      </c>
      <c r="D1044" t="str">
        <f>("Personal financial planner /")</f>
        <v>Personal financial planner /</v>
      </c>
      <c r="E1044" t="str">
        <f>("Harrison, Debbie.")</f>
        <v>Harrison, Debbie.</v>
      </c>
      <c r="F1044" t="str">
        <f>("Financial Times Management,")</f>
        <v>Financial Times Management,</v>
      </c>
      <c r="G1044" t="str">
        <f>("Rev. ed")</f>
        <v>Rev. ed</v>
      </c>
      <c r="H1044" t="str">
        <f t="shared" si="429"/>
        <v>圖書 book</v>
      </c>
      <c r="I1044" t="str">
        <f>("HG179 H318 1999")</f>
        <v>HG179 H318 1999</v>
      </c>
      <c r="J1044" t="str">
        <f>("0273639684")</f>
        <v>0273639684</v>
      </c>
      <c r="K1044" t="str">
        <f t="shared" si="433"/>
        <v>0</v>
      </c>
      <c r="L1044" t="str">
        <f>("2001/10/10 00:00:00")</f>
        <v>2001/10/10 00:00:00</v>
      </c>
      <c r="M1044" t="str">
        <f>("2018/08/11 13:31:58")</f>
        <v>2018/08/11 13:31:58</v>
      </c>
      <c r="N1044" t="str">
        <f>("1999")</f>
        <v>1999</v>
      </c>
      <c r="O1044" t="str">
        <f t="shared" si="430"/>
        <v>4F西文書庫 4F Western Language Books</v>
      </c>
      <c r="P1044" t="s">
        <v>64</v>
      </c>
      <c r="W1044" t="str">
        <f t="shared" si="424"/>
        <v>美國國會圖書分類法</v>
      </c>
      <c r="Y1044" t="str">
        <f>("HG179")</f>
        <v>HG179</v>
      </c>
      <c r="Z1044" t="str">
        <f>("2018/08/11 13:31:58")</f>
        <v>2018/08/11 13:31:58</v>
      </c>
      <c r="AA1044" t="str">
        <f t="shared" si="434"/>
        <v>catc</v>
      </c>
      <c r="AC1044" t="str">
        <f>("H318")</f>
        <v>H318</v>
      </c>
      <c r="AE1044" t="str">
        <f t="shared" si="421"/>
        <v>c.1</v>
      </c>
      <c r="AF1044" t="str">
        <f t="shared" si="431"/>
        <v>1.可借圖書</v>
      </c>
      <c r="AG1044" t="str">
        <f t="shared" si="432"/>
        <v>在架</v>
      </c>
      <c r="AI1044" t="s">
        <v>65</v>
      </c>
      <c r="AK1044" t="str">
        <f t="shared" si="435"/>
        <v>一般(Normal)</v>
      </c>
      <c r="AO1044" t="s">
        <v>65</v>
      </c>
      <c r="AS1044" t="str">
        <f>("1999.")</f>
        <v>1999.</v>
      </c>
      <c r="AT1044" t="str">
        <f t="shared" si="436"/>
        <v>catc</v>
      </c>
    </row>
    <row r="1045" spans="2:46" x14ac:dyDescent="0.25">
      <c r="B1045" t="str">
        <f>("287800")</f>
        <v>287800</v>
      </c>
      <c r="C1045" t="str">
        <f>("W00003115")</f>
        <v>W00003115</v>
      </c>
      <c r="D1045" t="str">
        <f>("Place to space /")</f>
        <v>Place to space /</v>
      </c>
      <c r="E1045" t="str">
        <f>("Weill, Peter.")</f>
        <v>Weill, Peter.</v>
      </c>
      <c r="F1045" t="str">
        <f>("Harvard Business School Press,")</f>
        <v>Harvard Business School Press,</v>
      </c>
      <c r="H1045" t="str">
        <f t="shared" si="429"/>
        <v>圖書 book</v>
      </c>
      <c r="I1045" t="str">
        <f>("HF5548.32 W422 2001")</f>
        <v>HF5548.32 W422 2001</v>
      </c>
      <c r="J1045" t="str">
        <f>("157851245X")</f>
        <v>157851245X</v>
      </c>
      <c r="K1045" t="str">
        <f t="shared" si="433"/>
        <v>0</v>
      </c>
      <c r="L1045" t="str">
        <f>("2001/10/10 00:00:00")</f>
        <v>2001/10/10 00:00:00</v>
      </c>
      <c r="M1045" t="str">
        <f>("2018/08/11 13:31:55")</f>
        <v>2018/08/11 13:31:55</v>
      </c>
      <c r="N1045" t="str">
        <f>("2001")</f>
        <v>2001</v>
      </c>
      <c r="O1045" t="str">
        <f t="shared" si="430"/>
        <v>4F西文書庫 4F Western Language Books</v>
      </c>
      <c r="P1045" t="s">
        <v>64</v>
      </c>
      <c r="W1045" t="str">
        <f t="shared" si="424"/>
        <v>美國國會圖書分類法</v>
      </c>
      <c r="Y1045" t="str">
        <f>("HF5548.32")</f>
        <v>HF5548.32</v>
      </c>
      <c r="Z1045" t="str">
        <f>("2018/08/11 13:31:55")</f>
        <v>2018/08/11 13:31:55</v>
      </c>
      <c r="AA1045" t="str">
        <f t="shared" si="434"/>
        <v>catc</v>
      </c>
      <c r="AC1045" t="str">
        <f>("W422")</f>
        <v>W422</v>
      </c>
      <c r="AE1045" t="str">
        <f t="shared" si="421"/>
        <v>c.1</v>
      </c>
      <c r="AF1045" t="str">
        <f t="shared" si="431"/>
        <v>1.可借圖書</v>
      </c>
      <c r="AG1045" t="str">
        <f t="shared" si="432"/>
        <v>在架</v>
      </c>
      <c r="AI1045" t="s">
        <v>65</v>
      </c>
      <c r="AK1045" t="str">
        <f t="shared" si="435"/>
        <v>一般(Normal)</v>
      </c>
      <c r="AO1045" t="s">
        <v>65</v>
      </c>
      <c r="AS1045" t="str">
        <f>("2001.")</f>
        <v>2001.</v>
      </c>
      <c r="AT1045" t="str">
        <f t="shared" si="436"/>
        <v>catc</v>
      </c>
    </row>
    <row r="1046" spans="2:46" x14ac:dyDescent="0.25">
      <c r="B1046" t="str">
        <f>("287814")</f>
        <v>287814</v>
      </c>
      <c r="C1046" t="str">
        <f>("W00003116")</f>
        <v>W00003116</v>
      </c>
      <c r="D1046" t="str">
        <f>("Planning and managing public relations campaigns /")</f>
        <v>Planning and managing public relations campaigns /</v>
      </c>
      <c r="E1046" t="str">
        <f>("Gregory, Anne.")</f>
        <v>Gregory, Anne.</v>
      </c>
      <c r="F1046" t="str">
        <f>("Kogan Page,")</f>
        <v>Kogan Page,</v>
      </c>
      <c r="G1046" t="str">
        <f>("2nd ed.")</f>
        <v>2nd ed.</v>
      </c>
      <c r="H1046" t="str">
        <f t="shared" si="429"/>
        <v>圖書 book</v>
      </c>
      <c r="I1046" t="str">
        <f>("HM1221 G822 2000")</f>
        <v>HM1221 G822 2000</v>
      </c>
      <c r="J1046" t="str">
        <f>("0749429917")</f>
        <v>0749429917</v>
      </c>
      <c r="K1046" t="str">
        <f t="shared" si="433"/>
        <v>0</v>
      </c>
      <c r="L1046" t="str">
        <f>("2001/10/10 00:00:00")</f>
        <v>2001/10/10 00:00:00</v>
      </c>
      <c r="M1046" t="str">
        <f>("2018/08/11 13:31:56")</f>
        <v>2018/08/11 13:31:56</v>
      </c>
      <c r="N1046" t="str">
        <f>("2000")</f>
        <v>2000</v>
      </c>
      <c r="O1046" t="str">
        <f t="shared" si="430"/>
        <v>4F西文書庫 4F Western Language Books</v>
      </c>
      <c r="P1046" t="s">
        <v>64</v>
      </c>
      <c r="W1046" t="str">
        <f t="shared" si="424"/>
        <v>美國國會圖書分類法</v>
      </c>
      <c r="Y1046" t="str">
        <f>("HM1221")</f>
        <v>HM1221</v>
      </c>
      <c r="Z1046" t="str">
        <f>("2018/08/11 13:31:56")</f>
        <v>2018/08/11 13:31:56</v>
      </c>
      <c r="AA1046" t="str">
        <f t="shared" si="434"/>
        <v>catc</v>
      </c>
      <c r="AC1046" t="str">
        <f>("G822")</f>
        <v>G822</v>
      </c>
      <c r="AE1046" t="str">
        <f t="shared" si="421"/>
        <v>c.1</v>
      </c>
      <c r="AF1046" t="str">
        <f t="shared" si="431"/>
        <v>1.可借圖書</v>
      </c>
      <c r="AG1046" t="str">
        <f t="shared" si="432"/>
        <v>在架</v>
      </c>
      <c r="AI1046" t="s">
        <v>65</v>
      </c>
      <c r="AK1046" t="str">
        <f t="shared" si="435"/>
        <v>一般(Normal)</v>
      </c>
      <c r="AO1046" t="s">
        <v>65</v>
      </c>
      <c r="AS1046" t="str">
        <f>("2000.")</f>
        <v>2000.</v>
      </c>
      <c r="AT1046" t="str">
        <f t="shared" si="436"/>
        <v>catc</v>
      </c>
    </row>
    <row r="1047" spans="2:46" x14ac:dyDescent="0.25">
      <c r="B1047" t="str">
        <f>("290513")</f>
        <v>290513</v>
      </c>
      <c r="C1047" t="str">
        <f>("W00003117")</f>
        <v>W00003117</v>
      </c>
      <c r="D1047" t="str">
        <f>("Pushing the digital frontier :insights into the changing landscape of e-business /")</f>
        <v>Pushing the digital frontier :insights into the changing landscape of e-business /</v>
      </c>
      <c r="E1047" t="str">
        <f>("Pal, Nirmal.;Ray, Judith M.")</f>
        <v>Pal, Nirmal.;Ray, Judith M.</v>
      </c>
      <c r="F1047" t="str">
        <f>("AMACOM,")</f>
        <v>AMACOM,</v>
      </c>
      <c r="H1047" t="str">
        <f t="shared" si="429"/>
        <v>圖書 book</v>
      </c>
      <c r="I1047" t="str">
        <f>("HF5548.32 P987 2001")</f>
        <v>HF5548.32 P987 2001</v>
      </c>
      <c r="J1047" t="str">
        <f>("0814406440")</f>
        <v>0814406440</v>
      </c>
      <c r="K1047" t="str">
        <f t="shared" si="433"/>
        <v>0</v>
      </c>
      <c r="L1047" t="str">
        <f>("2001/10/16 00:00:00")</f>
        <v>2001/10/16 00:00:00</v>
      </c>
      <c r="M1047" t="str">
        <f>("2018/08/11 13:36:32")</f>
        <v>2018/08/11 13:36:32</v>
      </c>
      <c r="N1047" t="str">
        <f>("2001")</f>
        <v>2001</v>
      </c>
      <c r="O1047" t="str">
        <f t="shared" si="430"/>
        <v>4F西文書庫 4F Western Language Books</v>
      </c>
      <c r="P1047" t="s">
        <v>64</v>
      </c>
      <c r="W1047" t="str">
        <f t="shared" si="424"/>
        <v>美國國會圖書分類法</v>
      </c>
      <c r="Y1047" t="str">
        <f>("HF5548.32")</f>
        <v>HF5548.32</v>
      </c>
      <c r="Z1047" t="str">
        <f>("2018/08/11 13:36:32")</f>
        <v>2018/08/11 13:36:32</v>
      </c>
      <c r="AA1047" t="str">
        <f t="shared" si="434"/>
        <v>catc</v>
      </c>
      <c r="AC1047" t="str">
        <f>("P987")</f>
        <v>P987</v>
      </c>
      <c r="AE1047" t="str">
        <f t="shared" si="421"/>
        <v>c.1</v>
      </c>
      <c r="AF1047" t="str">
        <f t="shared" si="431"/>
        <v>1.可借圖書</v>
      </c>
      <c r="AG1047" t="str">
        <f t="shared" si="432"/>
        <v>在架</v>
      </c>
      <c r="AI1047" t="s">
        <v>65</v>
      </c>
      <c r="AK1047" t="str">
        <f t="shared" si="435"/>
        <v>一般(Normal)</v>
      </c>
      <c r="AO1047" t="s">
        <v>65</v>
      </c>
      <c r="AS1047" t="str">
        <f>("2001.")</f>
        <v>2001.</v>
      </c>
      <c r="AT1047" t="str">
        <f t="shared" si="436"/>
        <v>catc</v>
      </c>
    </row>
    <row r="1048" spans="2:46" x14ac:dyDescent="0.25">
      <c r="B1048" t="str">
        <f>("287799")</f>
        <v>287799</v>
      </c>
      <c r="C1048" t="str">
        <f>("W00003118")</f>
        <v>W00003118</v>
      </c>
      <c r="D1048" t="str">
        <f>("Stocks for options trading :low-risk, low-stress strategies for selling stock options--profitably /")</f>
        <v>Stocks for options trading :low-risk, low-stress strategies for selling stock options--profitably /</v>
      </c>
      <c r="E1048" t="str">
        <f>("Friedentag, Harvey C.")</f>
        <v>Friedentag, Harvey C.</v>
      </c>
      <c r="F1048" t="str">
        <f>("St. Lucie Press ;;AMACOM, American Management Association,")</f>
        <v>St. Lucie Press ;;AMACOM, American Management Association,</v>
      </c>
      <c r="H1048" t="str">
        <f t="shared" si="429"/>
        <v>圖書 book</v>
      </c>
      <c r="I1048" t="str">
        <f>("HG6042 F899 2000")</f>
        <v>HG6042 F899 2000</v>
      </c>
      <c r="J1048" t="str">
        <f>("0910944075;0814404235")</f>
        <v>0910944075;0814404235</v>
      </c>
      <c r="K1048" t="str">
        <f t="shared" si="433"/>
        <v>0</v>
      </c>
      <c r="L1048" t="str">
        <f t="shared" ref="L1048:L1057" si="437">("2001/10/10 00:00:00")</f>
        <v>2001/10/10 00:00:00</v>
      </c>
      <c r="M1048" t="str">
        <f>("2018/08/11 13:31:55")</f>
        <v>2018/08/11 13:31:55</v>
      </c>
      <c r="N1048" t="str">
        <f>("2000")</f>
        <v>2000</v>
      </c>
      <c r="O1048" t="str">
        <f t="shared" si="430"/>
        <v>4F西文書庫 4F Western Language Books</v>
      </c>
      <c r="P1048" t="s">
        <v>64</v>
      </c>
      <c r="W1048" t="str">
        <f t="shared" si="424"/>
        <v>美國國會圖書分類法</v>
      </c>
      <c r="Y1048" t="str">
        <f>("HG6042")</f>
        <v>HG6042</v>
      </c>
      <c r="Z1048" t="str">
        <f>("2018/08/11 13:31:55")</f>
        <v>2018/08/11 13:31:55</v>
      </c>
      <c r="AA1048" t="str">
        <f t="shared" si="434"/>
        <v>catc</v>
      </c>
      <c r="AC1048" t="str">
        <f>("F899")</f>
        <v>F899</v>
      </c>
      <c r="AE1048" t="str">
        <f t="shared" si="421"/>
        <v>c.1</v>
      </c>
      <c r="AF1048" t="str">
        <f t="shared" si="431"/>
        <v>1.可借圖書</v>
      </c>
      <c r="AG1048" t="str">
        <f t="shared" si="432"/>
        <v>在架</v>
      </c>
      <c r="AI1048" t="s">
        <v>65</v>
      </c>
      <c r="AK1048" t="str">
        <f t="shared" si="435"/>
        <v>一般(Normal)</v>
      </c>
      <c r="AO1048" t="s">
        <v>65</v>
      </c>
      <c r="AS1048" t="str">
        <f>("c2000.")</f>
        <v>c2000.</v>
      </c>
      <c r="AT1048" t="str">
        <f t="shared" si="436"/>
        <v>catc</v>
      </c>
    </row>
    <row r="1049" spans="2:46" x14ac:dyDescent="0.25">
      <c r="B1049" t="str">
        <f>("287839")</f>
        <v>287839</v>
      </c>
      <c r="C1049" t="str">
        <f>("W00003119")</f>
        <v>W00003119</v>
      </c>
      <c r="D1049" t="str">
        <f>("Successful sales management :how to make your team the best /")</f>
        <v>Successful sales management :how to make your team the best /</v>
      </c>
      <c r="E1049" t="str">
        <f>("Stewart, Grant.")</f>
        <v>Stewart, Grant.</v>
      </c>
      <c r="F1049" t="str">
        <f>("Prentice Halls,")</f>
        <v>Prentice Halls,</v>
      </c>
      <c r="H1049" t="str">
        <f t="shared" si="429"/>
        <v>圖書 book</v>
      </c>
      <c r="I1049" t="str">
        <f>("HF5438.4 S849 2000")</f>
        <v>HF5438.4 S849 2000</v>
      </c>
      <c r="J1049" t="str">
        <f>("0273644882")</f>
        <v>0273644882</v>
      </c>
      <c r="K1049" t="str">
        <f t="shared" si="433"/>
        <v>0</v>
      </c>
      <c r="L1049" t="str">
        <f t="shared" si="437"/>
        <v>2001/10/10 00:00:00</v>
      </c>
      <c r="M1049" t="str">
        <f>("2018/08/11 13:31:58")</f>
        <v>2018/08/11 13:31:58</v>
      </c>
      <c r="N1049" t="str">
        <f>("2000")</f>
        <v>2000</v>
      </c>
      <c r="O1049" t="str">
        <f t="shared" si="430"/>
        <v>4F西文書庫 4F Western Language Books</v>
      </c>
      <c r="P1049" t="s">
        <v>64</v>
      </c>
      <c r="W1049" t="str">
        <f t="shared" si="424"/>
        <v>美國國會圖書分類法</v>
      </c>
      <c r="Y1049" t="str">
        <f>("HF5438.4")</f>
        <v>HF5438.4</v>
      </c>
      <c r="Z1049" t="str">
        <f>("2018/08/11 13:31:58")</f>
        <v>2018/08/11 13:31:58</v>
      </c>
      <c r="AA1049" t="str">
        <f t="shared" si="434"/>
        <v>catc</v>
      </c>
      <c r="AC1049" t="str">
        <f>("S849")</f>
        <v>S849</v>
      </c>
      <c r="AE1049" t="str">
        <f t="shared" si="421"/>
        <v>c.1</v>
      </c>
      <c r="AF1049" t="str">
        <f t="shared" si="431"/>
        <v>1.可借圖書</v>
      </c>
      <c r="AG1049" t="str">
        <f t="shared" si="432"/>
        <v>在架</v>
      </c>
      <c r="AI1049" t="s">
        <v>65</v>
      </c>
      <c r="AK1049" t="str">
        <f t="shared" si="435"/>
        <v>一般(Normal)</v>
      </c>
      <c r="AO1049" t="s">
        <v>65</v>
      </c>
      <c r="AS1049" t="str">
        <f>("2000.")</f>
        <v>2000.</v>
      </c>
      <c r="AT1049" t="str">
        <f t="shared" si="436"/>
        <v>catc</v>
      </c>
    </row>
    <row r="1050" spans="2:46" x14ac:dyDescent="0.25">
      <c r="B1050" t="str">
        <f>("287811")</f>
        <v>287811</v>
      </c>
      <c r="C1050" t="str">
        <f>("W00003120")</f>
        <v>W00003120</v>
      </c>
      <c r="D1050" t="str">
        <f>("Taxes for busy people :the book to use when there's no time to lose! /")</f>
        <v>Taxes for busy people :the book to use when there's no time to lose! /</v>
      </c>
      <c r="E1050" t="str">
        <f>("Cooke, Robert A.,1931-")</f>
        <v>Cooke, Robert A.,1931-</v>
      </c>
      <c r="F1050" t="str">
        <f>("McGraw-Hill,")</f>
        <v>McGraw-Hill,</v>
      </c>
      <c r="H1050" t="str">
        <f t="shared" si="429"/>
        <v>圖書 book</v>
      </c>
      <c r="I1050" t="str">
        <f>("KF6297.Z9 C773 1998")</f>
        <v>KF6297.Z9 C773 1998</v>
      </c>
      <c r="J1050" t="str">
        <f>("0070125570")</f>
        <v>0070125570</v>
      </c>
      <c r="K1050" t="str">
        <f t="shared" si="433"/>
        <v>0</v>
      </c>
      <c r="L1050" t="str">
        <f t="shared" si="437"/>
        <v>2001/10/10 00:00:00</v>
      </c>
      <c r="M1050" t="str">
        <f>("2018/08/11 13:31:56")</f>
        <v>2018/08/11 13:31:56</v>
      </c>
      <c r="N1050" t="str">
        <f>("1998")</f>
        <v>1998</v>
      </c>
      <c r="O1050" t="str">
        <f t="shared" si="430"/>
        <v>4F西文書庫 4F Western Language Books</v>
      </c>
      <c r="P1050" t="s">
        <v>64</v>
      </c>
      <c r="W1050" t="str">
        <f t="shared" si="424"/>
        <v>美國國會圖書分類法</v>
      </c>
      <c r="Y1050" t="str">
        <f>("KF6297.Z9")</f>
        <v>KF6297.Z9</v>
      </c>
      <c r="Z1050" t="str">
        <f>("2018/08/11 13:31:56")</f>
        <v>2018/08/11 13:31:56</v>
      </c>
      <c r="AA1050" t="str">
        <f t="shared" si="434"/>
        <v>catc</v>
      </c>
      <c r="AC1050" t="str">
        <f>("C773")</f>
        <v>C773</v>
      </c>
      <c r="AE1050" t="str">
        <f t="shared" si="421"/>
        <v>c.1</v>
      </c>
      <c r="AF1050" t="str">
        <f t="shared" si="431"/>
        <v>1.可借圖書</v>
      </c>
      <c r="AG1050" t="str">
        <f t="shared" si="432"/>
        <v>在架</v>
      </c>
      <c r="AI1050" t="s">
        <v>65</v>
      </c>
      <c r="AK1050" t="str">
        <f t="shared" si="435"/>
        <v>一般(Normal)</v>
      </c>
      <c r="AO1050" t="s">
        <v>65</v>
      </c>
      <c r="AS1050" t="str">
        <f>("c1998.")</f>
        <v>c1998.</v>
      </c>
      <c r="AT1050" t="str">
        <f t="shared" si="436"/>
        <v>catc</v>
      </c>
    </row>
    <row r="1051" spans="2:46" x14ac:dyDescent="0.25">
      <c r="B1051" t="str">
        <f>("287812")</f>
        <v>287812</v>
      </c>
      <c r="C1051" t="str">
        <f>("W00003121")</f>
        <v>W00003121</v>
      </c>
      <c r="D1051" t="str">
        <f>("Technology and economic development :the dynamics of local, regional and national competitiveness /")</f>
        <v>Technology and economic development :the dynamics of local, regional and national competitiveness /</v>
      </c>
      <c r="E1051" t="str">
        <f>("Malecki, Edward J.,1949-")</f>
        <v>Malecki, Edward J.,1949-</v>
      </c>
      <c r="F1051" t="str">
        <f>("Longman,")</f>
        <v>Longman,</v>
      </c>
      <c r="G1051" t="str">
        <f>("2nd ed.")</f>
        <v>2nd ed.</v>
      </c>
      <c r="H1051" t="str">
        <f t="shared" si="429"/>
        <v>圖書 book</v>
      </c>
      <c r="I1051" t="str">
        <f>("HC79.T4 M245 1997")</f>
        <v>HC79.T4 M245 1997</v>
      </c>
      <c r="J1051" t="str">
        <f>("058227723X")</f>
        <v>058227723X</v>
      </c>
      <c r="K1051" t="str">
        <f t="shared" si="433"/>
        <v>0</v>
      </c>
      <c r="L1051" t="str">
        <f t="shared" si="437"/>
        <v>2001/10/10 00:00:00</v>
      </c>
      <c r="M1051" t="str">
        <f>("2018/08/11 13:31:56")</f>
        <v>2018/08/11 13:31:56</v>
      </c>
      <c r="N1051" t="str">
        <f>("1997")</f>
        <v>1997</v>
      </c>
      <c r="O1051" t="str">
        <f t="shared" si="430"/>
        <v>4F西文書庫 4F Western Language Books</v>
      </c>
      <c r="P1051" t="s">
        <v>64</v>
      </c>
      <c r="W1051" t="str">
        <f t="shared" si="424"/>
        <v>美國國會圖書分類法</v>
      </c>
      <c r="Y1051" t="str">
        <f>("HC79.T4")</f>
        <v>HC79.T4</v>
      </c>
      <c r="Z1051" t="str">
        <f>("2018/08/11 13:31:56")</f>
        <v>2018/08/11 13:31:56</v>
      </c>
      <c r="AA1051" t="str">
        <f t="shared" si="434"/>
        <v>catc</v>
      </c>
      <c r="AC1051" t="str">
        <f>("M245")</f>
        <v>M245</v>
      </c>
      <c r="AE1051" t="str">
        <f t="shared" si="421"/>
        <v>c.1</v>
      </c>
      <c r="AF1051" t="str">
        <f t="shared" si="431"/>
        <v>1.可借圖書</v>
      </c>
      <c r="AG1051" t="str">
        <f t="shared" si="432"/>
        <v>在架</v>
      </c>
      <c r="AI1051" t="s">
        <v>65</v>
      </c>
      <c r="AK1051" t="str">
        <f t="shared" si="435"/>
        <v>一般(Normal)</v>
      </c>
      <c r="AO1051" t="s">
        <v>65</v>
      </c>
      <c r="AS1051" t="str">
        <f>("1997.")</f>
        <v>1997.</v>
      </c>
      <c r="AT1051" t="str">
        <f t="shared" si="436"/>
        <v>catc</v>
      </c>
    </row>
    <row r="1052" spans="2:46" x14ac:dyDescent="0.25">
      <c r="B1052" t="str">
        <f>("287813")</f>
        <v>287813</v>
      </c>
      <c r="C1052" t="str">
        <f>("W00003122")</f>
        <v>W00003122</v>
      </c>
      <c r="D1052" t="str">
        <f>("The human resource development handbook /")</f>
        <v>The human resource development handbook /</v>
      </c>
      <c r="E1052" t="str">
        <f>("Hargreaves, Pat.")</f>
        <v>Hargreaves, Pat.</v>
      </c>
      <c r="F1052" t="str">
        <f>("Kogan Page,")</f>
        <v>Kogan Page,</v>
      </c>
      <c r="G1052" t="str">
        <f>("Rev. ed.")</f>
        <v>Rev. ed.</v>
      </c>
      <c r="H1052" t="str">
        <f t="shared" si="429"/>
        <v>圖書 book</v>
      </c>
      <c r="I1052" t="str">
        <f>("HB172 H279 2000")</f>
        <v>HB172 H279 2000</v>
      </c>
      <c r="J1052" t="str">
        <f>("0749432233")</f>
        <v>0749432233</v>
      </c>
      <c r="K1052" t="str">
        <f t="shared" si="433"/>
        <v>0</v>
      </c>
      <c r="L1052" t="str">
        <f t="shared" si="437"/>
        <v>2001/10/10 00:00:00</v>
      </c>
      <c r="M1052" t="str">
        <f>("2018/08/11 13:31:56")</f>
        <v>2018/08/11 13:31:56</v>
      </c>
      <c r="N1052" t="str">
        <f>("2000")</f>
        <v>2000</v>
      </c>
      <c r="O1052" t="str">
        <f t="shared" si="430"/>
        <v>4F西文書庫 4F Western Language Books</v>
      </c>
      <c r="P1052" t="s">
        <v>64</v>
      </c>
      <c r="W1052" t="str">
        <f t="shared" si="424"/>
        <v>美國國會圖書分類法</v>
      </c>
      <c r="Y1052" t="str">
        <f>("HB172")</f>
        <v>HB172</v>
      </c>
      <c r="Z1052" t="str">
        <f>("2018/08/11 13:31:56")</f>
        <v>2018/08/11 13:31:56</v>
      </c>
      <c r="AA1052" t="str">
        <f t="shared" si="434"/>
        <v>catc</v>
      </c>
      <c r="AC1052" t="str">
        <f>("H279")</f>
        <v>H279</v>
      </c>
      <c r="AE1052" t="str">
        <f t="shared" si="421"/>
        <v>c.1</v>
      </c>
      <c r="AF1052" t="str">
        <f t="shared" si="431"/>
        <v>1.可借圖書</v>
      </c>
      <c r="AG1052" t="str">
        <f t="shared" si="432"/>
        <v>在架</v>
      </c>
      <c r="AI1052" t="s">
        <v>65</v>
      </c>
      <c r="AK1052" t="str">
        <f t="shared" si="435"/>
        <v>一般(Normal)</v>
      </c>
      <c r="AO1052" t="s">
        <v>65</v>
      </c>
      <c r="AS1052" t="str">
        <f>("2000.")</f>
        <v>2000.</v>
      </c>
      <c r="AT1052" t="str">
        <f t="shared" si="436"/>
        <v>catc</v>
      </c>
    </row>
    <row r="1053" spans="2:46" x14ac:dyDescent="0.25">
      <c r="B1053" t="str">
        <f>("287798")</f>
        <v>287798</v>
      </c>
      <c r="C1053" t="str">
        <f>("W00003123")</f>
        <v>W00003123</v>
      </c>
      <c r="D1053" t="str">
        <f>("The interactive marketplace /")</f>
        <v>The interactive marketplace /</v>
      </c>
      <c r="E1053" t="str">
        <f>("Brown, Keith")</f>
        <v>Brown, Keith</v>
      </c>
      <c r="F1053" t="str">
        <f>("McGraw Hill,")</f>
        <v>McGraw Hill,</v>
      </c>
      <c r="H1053" t="str">
        <f t="shared" si="429"/>
        <v>圖書 book</v>
      </c>
      <c r="I1053" t="str">
        <f>("HF5548.32 B878 2001")</f>
        <v>HF5548.32 B878 2001</v>
      </c>
      <c r="J1053" t="str">
        <f>("0071363432")</f>
        <v>0071363432</v>
      </c>
      <c r="K1053" t="str">
        <f t="shared" si="433"/>
        <v>0</v>
      </c>
      <c r="L1053" t="str">
        <f t="shared" si="437"/>
        <v>2001/10/10 00:00:00</v>
      </c>
      <c r="M1053" t="str">
        <f>("2018/08/11 13:31:55")</f>
        <v>2018/08/11 13:31:55</v>
      </c>
      <c r="N1053" t="str">
        <f>("2001")</f>
        <v>2001</v>
      </c>
      <c r="O1053" t="str">
        <f t="shared" si="430"/>
        <v>4F西文書庫 4F Western Language Books</v>
      </c>
      <c r="P1053" t="s">
        <v>64</v>
      </c>
      <c r="S1053" t="str">
        <f>("x, 240 p. :")</f>
        <v>x, 240 p. :</v>
      </c>
      <c r="T1053" t="str">
        <f>("ill. ;")</f>
        <v>ill. ;</v>
      </c>
      <c r="U1053" t="str">
        <f>("24 cm.")</f>
        <v>24 cm.</v>
      </c>
      <c r="W1053" t="str">
        <f t="shared" si="424"/>
        <v>美國國會圖書分類法</v>
      </c>
      <c r="Y1053" t="str">
        <f>("HF5548.32")</f>
        <v>HF5548.32</v>
      </c>
      <c r="Z1053" t="str">
        <f>("2018/08/11 13:31:55")</f>
        <v>2018/08/11 13:31:55</v>
      </c>
      <c r="AA1053" t="str">
        <f t="shared" si="434"/>
        <v>catc</v>
      </c>
      <c r="AC1053" t="str">
        <f>("B878")</f>
        <v>B878</v>
      </c>
      <c r="AE1053" t="str">
        <f t="shared" si="421"/>
        <v>c.1</v>
      </c>
      <c r="AF1053" t="str">
        <f t="shared" si="431"/>
        <v>1.可借圖書</v>
      </c>
      <c r="AG1053" t="str">
        <f t="shared" si="432"/>
        <v>在架</v>
      </c>
      <c r="AI1053" t="s">
        <v>65</v>
      </c>
      <c r="AK1053" t="str">
        <f t="shared" si="435"/>
        <v>一般(Normal)</v>
      </c>
      <c r="AO1053" t="s">
        <v>65</v>
      </c>
      <c r="AS1053" t="str">
        <f>("c2001.")</f>
        <v>c2001.</v>
      </c>
      <c r="AT1053" t="str">
        <f t="shared" si="436"/>
        <v>catc</v>
      </c>
    </row>
    <row r="1054" spans="2:46" x14ac:dyDescent="0.25">
      <c r="B1054" t="str">
        <f>("287822")</f>
        <v>287822</v>
      </c>
      <c r="C1054" t="str">
        <f>("W00003124")</f>
        <v>W00003124</v>
      </c>
      <c r="D1054" t="str">
        <f>("The invisible customer :strategies for sucessive customer service down the wire /")</f>
        <v>The invisible customer :strategies for sucessive customer service down the wire /</v>
      </c>
      <c r="E1054" t="str">
        <f>("Clegg, Brian.")</f>
        <v>Clegg, Brian.</v>
      </c>
      <c r="F1054" t="str">
        <f>("Kogan Page,")</f>
        <v>Kogan Page,</v>
      </c>
      <c r="H1054" t="str">
        <f t="shared" si="429"/>
        <v>圖書 book</v>
      </c>
      <c r="I1054" t="str">
        <f>("HE8788 C624 2000")</f>
        <v>HE8788 C624 2000</v>
      </c>
      <c r="J1054" t="str">
        <f>("074943144X")</f>
        <v>074943144X</v>
      </c>
      <c r="K1054" t="str">
        <f t="shared" si="433"/>
        <v>0</v>
      </c>
      <c r="L1054" t="str">
        <f t="shared" si="437"/>
        <v>2001/10/10 00:00:00</v>
      </c>
      <c r="M1054" t="str">
        <f>("2018/08/11 13:31:56")</f>
        <v>2018/08/11 13:31:56</v>
      </c>
      <c r="N1054" t="str">
        <f>("2000")</f>
        <v>2000</v>
      </c>
      <c r="O1054" t="str">
        <f t="shared" si="430"/>
        <v>4F西文書庫 4F Western Language Books</v>
      </c>
      <c r="P1054" t="s">
        <v>64</v>
      </c>
      <c r="W1054" t="str">
        <f t="shared" si="424"/>
        <v>美國國會圖書分類法</v>
      </c>
      <c r="Y1054" t="str">
        <f>("HE8788")</f>
        <v>HE8788</v>
      </c>
      <c r="Z1054" t="str">
        <f>("2018/08/11 13:31:56")</f>
        <v>2018/08/11 13:31:56</v>
      </c>
      <c r="AA1054" t="str">
        <f t="shared" si="434"/>
        <v>catc</v>
      </c>
      <c r="AC1054" t="str">
        <f>("C624")</f>
        <v>C624</v>
      </c>
      <c r="AE1054" t="str">
        <f t="shared" si="421"/>
        <v>c.1</v>
      </c>
      <c r="AF1054" t="str">
        <f t="shared" si="431"/>
        <v>1.可借圖書</v>
      </c>
      <c r="AG1054" t="str">
        <f t="shared" si="432"/>
        <v>在架</v>
      </c>
      <c r="AI1054" t="s">
        <v>65</v>
      </c>
      <c r="AK1054" t="str">
        <f t="shared" si="435"/>
        <v>一般(Normal)</v>
      </c>
      <c r="AO1054" t="s">
        <v>65</v>
      </c>
      <c r="AS1054" t="str">
        <f>("2000.")</f>
        <v>2000.</v>
      </c>
      <c r="AT1054" t="str">
        <f t="shared" si="436"/>
        <v>catc</v>
      </c>
    </row>
    <row r="1055" spans="2:46" x14ac:dyDescent="0.25">
      <c r="B1055" t="str">
        <f>("287810")</f>
        <v>287810</v>
      </c>
      <c r="C1055" t="str">
        <f>("W00003125")</f>
        <v>W00003125</v>
      </c>
      <c r="D1055" t="str">
        <f>("Working knowledge :how organizations manage what they know /")</f>
        <v>Working knowledge :how organizations manage what they know /</v>
      </c>
      <c r="E1055" t="str">
        <f>("Davenport, Thomas H.")</f>
        <v>Davenport, Thomas H.</v>
      </c>
      <c r="F1055" t="str">
        <f>("McGraw-Hill,;Harvard Business School ;")</f>
        <v>McGraw-Hill,;Harvard Business School ;</v>
      </c>
      <c r="H1055" t="str">
        <f t="shared" si="429"/>
        <v>圖書 book</v>
      </c>
      <c r="I1055" t="str">
        <f>("HD58.82 D247 2000")</f>
        <v>HD58.82 D247 2000</v>
      </c>
      <c r="J1055" t="str">
        <f>("1578513014")</f>
        <v>1578513014</v>
      </c>
      <c r="K1055" t="str">
        <f t="shared" si="433"/>
        <v>0</v>
      </c>
      <c r="L1055" t="str">
        <f t="shared" si="437"/>
        <v>2001/10/10 00:00:00</v>
      </c>
      <c r="M1055" t="str">
        <f>("2018/08/11 13:31:56")</f>
        <v>2018/08/11 13:31:56</v>
      </c>
      <c r="N1055" t="str">
        <f>("2000")</f>
        <v>2000</v>
      </c>
      <c r="O1055" t="str">
        <f t="shared" si="430"/>
        <v>4F西文書庫 4F Western Language Books</v>
      </c>
      <c r="P1055" t="s">
        <v>64</v>
      </c>
      <c r="W1055" t="str">
        <f t="shared" si="424"/>
        <v>美國國會圖書分類法</v>
      </c>
      <c r="Y1055" t="str">
        <f>("HD58.82")</f>
        <v>HD58.82</v>
      </c>
      <c r="Z1055" t="str">
        <f>("2018/08/11 13:31:56")</f>
        <v>2018/08/11 13:31:56</v>
      </c>
      <c r="AA1055" t="str">
        <f t="shared" si="434"/>
        <v>catc</v>
      </c>
      <c r="AC1055" t="str">
        <f>("D247")</f>
        <v>D247</v>
      </c>
      <c r="AE1055" t="str">
        <f t="shared" si="421"/>
        <v>c.1</v>
      </c>
      <c r="AF1055" t="str">
        <f t="shared" si="431"/>
        <v>1.可借圖書</v>
      </c>
      <c r="AG1055" t="str">
        <f t="shared" si="432"/>
        <v>在架</v>
      </c>
      <c r="AI1055" t="s">
        <v>65</v>
      </c>
      <c r="AK1055" t="str">
        <f t="shared" si="435"/>
        <v>一般(Normal)</v>
      </c>
      <c r="AO1055" t="s">
        <v>65</v>
      </c>
      <c r="AS1055" t="str">
        <f>("2000.")</f>
        <v>2000.</v>
      </c>
      <c r="AT1055" t="str">
        <f t="shared" si="436"/>
        <v>catc</v>
      </c>
    </row>
    <row r="1056" spans="2:46" x14ac:dyDescent="0.25">
      <c r="B1056" t="str">
        <f>("287784")</f>
        <v>287784</v>
      </c>
      <c r="C1056" t="str">
        <f>("W00003126")</f>
        <v>W00003126</v>
      </c>
      <c r="D1056" t="str">
        <f>("Debt management :a practitioner's guide /")</f>
        <v>Debt management :a practitioner's guide /</v>
      </c>
      <c r="E1056" t="str">
        <f>("Finnerty, John D.")</f>
        <v>Finnerty, John D.</v>
      </c>
      <c r="F1056" t="str">
        <f>("Harvard Business School Press,")</f>
        <v>Harvard Business School Press,</v>
      </c>
      <c r="H1056" t="str">
        <f t="shared" si="429"/>
        <v>圖書 book</v>
      </c>
      <c r="I1056" t="str">
        <f>("HG4028.D3 F514 2001")</f>
        <v>HG4028.D3 F514 2001</v>
      </c>
      <c r="J1056" t="str">
        <f>("0875846173")</f>
        <v>0875846173</v>
      </c>
      <c r="K1056" t="str">
        <f t="shared" si="433"/>
        <v>0</v>
      </c>
      <c r="L1056" t="str">
        <f t="shared" si="437"/>
        <v>2001/10/10 00:00:00</v>
      </c>
      <c r="M1056" t="str">
        <f>("2018/08/11 13:31:53")</f>
        <v>2018/08/11 13:31:53</v>
      </c>
      <c r="N1056" t="str">
        <f>("2001")</f>
        <v>2001</v>
      </c>
      <c r="O1056" t="str">
        <f t="shared" si="430"/>
        <v>4F西文書庫 4F Western Language Books</v>
      </c>
      <c r="P1056" t="s">
        <v>64</v>
      </c>
      <c r="W1056" t="str">
        <f t="shared" si="424"/>
        <v>美國國會圖書分類法</v>
      </c>
      <c r="Y1056" t="str">
        <f>("HG4028.D3")</f>
        <v>HG4028.D3</v>
      </c>
      <c r="Z1056" t="str">
        <f>("2018/08/11 13:31:53")</f>
        <v>2018/08/11 13:31:53</v>
      </c>
      <c r="AA1056" t="str">
        <f t="shared" si="434"/>
        <v>catc</v>
      </c>
      <c r="AC1056" t="str">
        <f>("F514")</f>
        <v>F514</v>
      </c>
      <c r="AE1056" t="str">
        <f t="shared" si="421"/>
        <v>c.1</v>
      </c>
      <c r="AF1056" t="str">
        <f t="shared" si="431"/>
        <v>1.可借圖書</v>
      </c>
      <c r="AG1056" t="str">
        <f t="shared" si="432"/>
        <v>在架</v>
      </c>
      <c r="AI1056" t="s">
        <v>65</v>
      </c>
      <c r="AK1056" t="str">
        <f t="shared" si="435"/>
        <v>一般(Normal)</v>
      </c>
      <c r="AO1056" t="s">
        <v>65</v>
      </c>
      <c r="AS1056" t="str">
        <f>("2001.")</f>
        <v>2001.</v>
      </c>
      <c r="AT1056" t="str">
        <f t="shared" si="436"/>
        <v>catc</v>
      </c>
    </row>
    <row r="1057" spans="2:46" x14ac:dyDescent="0.25">
      <c r="B1057" t="str">
        <f>("287786")</f>
        <v>287786</v>
      </c>
      <c r="C1057" t="str">
        <f>("W00003127")</f>
        <v>W00003127</v>
      </c>
      <c r="D1057" t="str">
        <f>("Brand warfare :10 rules for building the killer brand : lessons for new and old economy players /")</f>
        <v>Brand warfare :10 rules for building the killer brand : lessons for new and old economy players /</v>
      </c>
      <c r="E1057" t="str">
        <f>("D'Alessandro, David F.")</f>
        <v>D'Alessandro, David F.</v>
      </c>
      <c r="F1057" t="str">
        <f>("McGraw-Hill,")</f>
        <v>McGraw-Hill,</v>
      </c>
      <c r="H1057" t="str">
        <f t="shared" si="429"/>
        <v>圖書 book</v>
      </c>
      <c r="I1057" t="str">
        <f>("HD69.B7 D141 2001")</f>
        <v>HD69.B7 D141 2001</v>
      </c>
      <c r="J1057" t="str">
        <f>("0071362932")</f>
        <v>0071362932</v>
      </c>
      <c r="K1057" t="str">
        <f t="shared" si="433"/>
        <v>0</v>
      </c>
      <c r="L1057" t="str">
        <f t="shared" si="437"/>
        <v>2001/10/10 00:00:00</v>
      </c>
      <c r="M1057" t="str">
        <f>("2018/08/11 13:31:53")</f>
        <v>2018/08/11 13:31:53</v>
      </c>
      <c r="N1057" t="str">
        <f>("2001")</f>
        <v>2001</v>
      </c>
      <c r="O1057" t="str">
        <f t="shared" si="430"/>
        <v>4F西文書庫 4F Western Language Books</v>
      </c>
      <c r="P1057" t="s">
        <v>64</v>
      </c>
      <c r="W1057" t="str">
        <f t="shared" si="424"/>
        <v>美國國會圖書分類法</v>
      </c>
      <c r="Y1057" t="str">
        <f>("HD69.B7")</f>
        <v>HD69.B7</v>
      </c>
      <c r="Z1057" t="str">
        <f>("2018/08/11 13:31:53")</f>
        <v>2018/08/11 13:31:53</v>
      </c>
      <c r="AA1057" t="str">
        <f t="shared" si="434"/>
        <v>catc</v>
      </c>
      <c r="AC1057" t="str">
        <f>("D141")</f>
        <v>D141</v>
      </c>
      <c r="AE1057" t="str">
        <f t="shared" si="421"/>
        <v>c.1</v>
      </c>
      <c r="AF1057" t="str">
        <f t="shared" si="431"/>
        <v>1.可借圖書</v>
      </c>
      <c r="AG1057" t="str">
        <f t="shared" si="432"/>
        <v>在架</v>
      </c>
      <c r="AI1057" t="s">
        <v>65</v>
      </c>
      <c r="AK1057" t="str">
        <f t="shared" si="435"/>
        <v>一般(Normal)</v>
      </c>
      <c r="AO1057" t="s">
        <v>65</v>
      </c>
      <c r="AS1057" t="str">
        <f>("c2001.")</f>
        <v>c2001.</v>
      </c>
      <c r="AT1057" t="str">
        <f t="shared" si="436"/>
        <v>catc</v>
      </c>
    </row>
    <row r="1058" spans="2:46" x14ac:dyDescent="0.25">
      <c r="B1058" t="str">
        <f>("289135")</f>
        <v>289135</v>
      </c>
      <c r="C1058" t="str">
        <f>("W00003128")</f>
        <v>W00003128</v>
      </c>
      <c r="D1058" t="str">
        <f>("Business forecasting /")</f>
        <v>Business forecasting /</v>
      </c>
      <c r="E1058" t="str">
        <f>("Hanke, John E.,1940- ")</f>
        <v xml:space="preserve">Hanke, John E.,1940- </v>
      </c>
      <c r="F1058" t="str">
        <f>("Prentice Hall,")</f>
        <v>Prentice Hall,</v>
      </c>
      <c r="G1058" t="str">
        <f>("6th ed ")</f>
        <v xml:space="preserve">6th ed </v>
      </c>
      <c r="H1058" t="str">
        <f t="shared" si="429"/>
        <v>圖書 book</v>
      </c>
      <c r="I1058" t="str">
        <f>("HD30.27 H241 1998")</f>
        <v>HD30.27 H241 1998</v>
      </c>
      <c r="J1058" t="str">
        <f>("0137817185")</f>
        <v>0137817185</v>
      </c>
      <c r="K1058" t="str">
        <f t="shared" si="433"/>
        <v>0</v>
      </c>
      <c r="L1058" t="str">
        <f>("2004/03/31 00:00:00")</f>
        <v>2004/03/31 00:00:00</v>
      </c>
      <c r="M1058" t="str">
        <f>("2018/08/11 13:34:05")</f>
        <v>2018/08/11 13:34:05</v>
      </c>
      <c r="N1058" t="str">
        <f>("1998")</f>
        <v>1998</v>
      </c>
      <c r="O1058" t="str">
        <f t="shared" si="430"/>
        <v>4F西文書庫 4F Western Language Books</v>
      </c>
      <c r="P1058" t="s">
        <v>64</v>
      </c>
      <c r="W1058" t="str">
        <f t="shared" si="424"/>
        <v>美國國會圖書分類法</v>
      </c>
      <c r="Y1058" t="str">
        <f>("HD30.27")</f>
        <v>HD30.27</v>
      </c>
      <c r="Z1058" t="str">
        <f>("2018/08/11 13:34:05")</f>
        <v>2018/08/11 13:34:05</v>
      </c>
      <c r="AA1058" t="str">
        <f t="shared" si="434"/>
        <v>catc</v>
      </c>
      <c r="AC1058" t="str">
        <f>("H241")</f>
        <v>H241</v>
      </c>
      <c r="AE1058" t="str">
        <f t="shared" si="421"/>
        <v>c.1</v>
      </c>
      <c r="AF1058" t="str">
        <f t="shared" si="431"/>
        <v>1.可借圖書</v>
      </c>
      <c r="AG1058" t="str">
        <f t="shared" si="432"/>
        <v>在架</v>
      </c>
      <c r="AI1058" t="s">
        <v>65</v>
      </c>
      <c r="AK1058" t="str">
        <f t="shared" si="435"/>
        <v>一般(Normal)</v>
      </c>
      <c r="AO1058" t="s">
        <v>65</v>
      </c>
      <c r="AS1058" t="str">
        <f>("c1998 ")</f>
        <v xml:space="preserve">c1998 </v>
      </c>
      <c r="AT1058" t="str">
        <f t="shared" si="436"/>
        <v>catc</v>
      </c>
    </row>
    <row r="1059" spans="2:46" x14ac:dyDescent="0.25">
      <c r="B1059" t="str">
        <f>("287759")</f>
        <v>287759</v>
      </c>
      <c r="C1059" t="str">
        <f>("W00003129")</f>
        <v>W00003129</v>
      </c>
      <c r="D1059" t="str">
        <f>("Collections made easy :fast, efficient, proven techniques to get cash from your customers /")</f>
        <v>Collections made easy :fast, efficient, proven techniques to get cash from your customers /</v>
      </c>
      <c r="E1059" t="str">
        <f>("Frischer, Carol S.")</f>
        <v>Frischer, Carol S.</v>
      </c>
      <c r="F1059" t="str">
        <f>("Career Press,")</f>
        <v>Career Press,</v>
      </c>
      <c r="H1059" t="str">
        <f t="shared" si="429"/>
        <v>圖書 book</v>
      </c>
      <c r="I1059" t="str">
        <f>("HG3752.7.U6 F917 1999")</f>
        <v>HG3752.7.U6 F917 1999</v>
      </c>
      <c r="J1059" t="str">
        <f>("1564144003")</f>
        <v>1564144003</v>
      </c>
      <c r="K1059" t="str">
        <f t="shared" si="433"/>
        <v>0</v>
      </c>
      <c r="L1059" t="str">
        <f>("2001/10/10 00:00:00")</f>
        <v>2001/10/10 00:00:00</v>
      </c>
      <c r="M1059" t="str">
        <f>("2018/08/11 13:31:53")</f>
        <v>2018/08/11 13:31:53</v>
      </c>
      <c r="N1059" t="str">
        <f>("1999")</f>
        <v>1999</v>
      </c>
      <c r="O1059" t="str">
        <f t="shared" si="430"/>
        <v>4F西文書庫 4F Western Language Books</v>
      </c>
      <c r="P1059" t="s">
        <v>64</v>
      </c>
      <c r="W1059" t="str">
        <f t="shared" si="424"/>
        <v>美國國會圖書分類法</v>
      </c>
      <c r="Y1059" t="str">
        <f>("HG3752.7.U6")</f>
        <v>HG3752.7.U6</v>
      </c>
      <c r="Z1059" t="str">
        <f>("2018/08/11 13:31:53")</f>
        <v>2018/08/11 13:31:53</v>
      </c>
      <c r="AA1059" t="str">
        <f t="shared" si="434"/>
        <v>catc</v>
      </c>
      <c r="AC1059" t="str">
        <f>("F917")</f>
        <v>F917</v>
      </c>
      <c r="AE1059" t="str">
        <f t="shared" si="421"/>
        <v>c.1</v>
      </c>
      <c r="AF1059" t="str">
        <f t="shared" si="431"/>
        <v>1.可借圖書</v>
      </c>
      <c r="AG1059" t="str">
        <f t="shared" si="432"/>
        <v>在架</v>
      </c>
      <c r="AI1059" t="s">
        <v>65</v>
      </c>
      <c r="AK1059" t="str">
        <f t="shared" si="435"/>
        <v>一般(Normal)</v>
      </c>
      <c r="AO1059" t="s">
        <v>65</v>
      </c>
      <c r="AS1059" t="str">
        <f>("c1999.")</f>
        <v>c1999.</v>
      </c>
      <c r="AT1059" t="str">
        <f t="shared" si="436"/>
        <v>catc</v>
      </c>
    </row>
    <row r="1060" spans="2:46" x14ac:dyDescent="0.25">
      <c r="B1060" t="str">
        <f>("287758")</f>
        <v>287758</v>
      </c>
      <c r="C1060" t="str">
        <f>("W00003130")</f>
        <v>W00003130</v>
      </c>
      <c r="D1060" t="str">
        <f>("Corporate portals and ebusiness integration /")</f>
        <v>Corporate portals and ebusiness integration /</v>
      </c>
      <c r="E1060" t="str">
        <f>("Davydov, Mark M.")</f>
        <v>Davydov, Mark M.</v>
      </c>
      <c r="F1060" t="str">
        <f>("McGraw-Hill,")</f>
        <v>McGraw-Hill,</v>
      </c>
      <c r="H1060" t="str">
        <f t="shared" si="429"/>
        <v>圖書 book</v>
      </c>
      <c r="I1060" t="str">
        <f>("HF5548.32 D268 2001")</f>
        <v>HF5548.32 D268 2001</v>
      </c>
      <c r="J1060" t="str">
        <f>("0071371796")</f>
        <v>0071371796</v>
      </c>
      <c r="K1060" t="str">
        <f t="shared" si="433"/>
        <v>0</v>
      </c>
      <c r="L1060" t="str">
        <f>("2001/10/10 00:00:00")</f>
        <v>2001/10/10 00:00:00</v>
      </c>
      <c r="M1060" t="str">
        <f>("2018/08/11 13:31:53")</f>
        <v>2018/08/11 13:31:53</v>
      </c>
      <c r="N1060" t="str">
        <f>("2001")</f>
        <v>2001</v>
      </c>
      <c r="O1060" t="str">
        <f t="shared" si="430"/>
        <v>4F西文書庫 4F Western Language Books</v>
      </c>
      <c r="P1060" t="s">
        <v>64</v>
      </c>
      <c r="W1060" t="str">
        <f t="shared" si="424"/>
        <v>美國國會圖書分類法</v>
      </c>
      <c r="Y1060" t="str">
        <f>("HF5548.32")</f>
        <v>HF5548.32</v>
      </c>
      <c r="Z1060" t="str">
        <f>("2018/08/11 13:31:53")</f>
        <v>2018/08/11 13:31:53</v>
      </c>
      <c r="AA1060" t="str">
        <f t="shared" si="434"/>
        <v>catc</v>
      </c>
      <c r="AC1060" t="str">
        <f>("D268")</f>
        <v>D268</v>
      </c>
      <c r="AE1060" t="str">
        <f t="shared" si="421"/>
        <v>c.1</v>
      </c>
      <c r="AF1060" t="str">
        <f t="shared" si="431"/>
        <v>1.可借圖書</v>
      </c>
      <c r="AG1060" t="str">
        <f t="shared" si="432"/>
        <v>在架</v>
      </c>
      <c r="AI1060" t="s">
        <v>65</v>
      </c>
      <c r="AK1060" t="str">
        <f t="shared" si="435"/>
        <v>一般(Normal)</v>
      </c>
      <c r="AO1060" t="s">
        <v>65</v>
      </c>
      <c r="AS1060" t="str">
        <f>("2001.")</f>
        <v>2001.</v>
      </c>
      <c r="AT1060" t="str">
        <f t="shared" si="436"/>
        <v>catc</v>
      </c>
    </row>
    <row r="1061" spans="2:46" x14ac:dyDescent="0.25">
      <c r="B1061" t="str">
        <f>("287757")</f>
        <v>287757</v>
      </c>
      <c r="C1061" t="str">
        <f>("W00003131")</f>
        <v>W00003131</v>
      </c>
      <c r="D1061" t="str">
        <f>("DotCom divas :E-business insights from the visionary women founders of 20 net ventures /")</f>
        <v>DotCom divas :E-business insights from the visionary women founders of 20 net ventures /</v>
      </c>
      <c r="E1061" t="str">
        <f>("Carlassare, Elizabeth.")</f>
        <v>Carlassare, Elizabeth.</v>
      </c>
      <c r="F1061" t="str">
        <f>("McGraw-Hill,")</f>
        <v>McGraw-Hill,</v>
      </c>
      <c r="H1061" t="str">
        <f t="shared" si="429"/>
        <v>圖書 book</v>
      </c>
      <c r="I1061" t="str">
        <f>("HF5548.325.U6 c278 2001")</f>
        <v>HF5548.325.U6 c278 2001</v>
      </c>
      <c r="J1061" t="str">
        <f>("0071362428")</f>
        <v>0071362428</v>
      </c>
      <c r="K1061" t="str">
        <f t="shared" si="433"/>
        <v>0</v>
      </c>
      <c r="L1061" t="str">
        <f>("2001/10/10 00:00:00")</f>
        <v>2001/10/10 00:00:00</v>
      </c>
      <c r="M1061" t="str">
        <f>("2018/08/11 13:31:53")</f>
        <v>2018/08/11 13:31:53</v>
      </c>
      <c r="N1061" t="str">
        <f>("2001")</f>
        <v>2001</v>
      </c>
      <c r="O1061" t="str">
        <f t="shared" si="430"/>
        <v>4F西文書庫 4F Western Language Books</v>
      </c>
      <c r="P1061" t="s">
        <v>64</v>
      </c>
      <c r="W1061" t="str">
        <f t="shared" si="424"/>
        <v>美國國會圖書分類法</v>
      </c>
      <c r="Y1061" t="str">
        <f>("HF5548.325.U6")</f>
        <v>HF5548.325.U6</v>
      </c>
      <c r="Z1061" t="str">
        <f>("2018/08/11 13:31:53")</f>
        <v>2018/08/11 13:31:53</v>
      </c>
      <c r="AA1061" t="str">
        <f t="shared" si="434"/>
        <v>catc</v>
      </c>
      <c r="AC1061" t="str">
        <f>("c278")</f>
        <v>c278</v>
      </c>
      <c r="AE1061" t="str">
        <f t="shared" si="421"/>
        <v>c.1</v>
      </c>
      <c r="AF1061" t="str">
        <f t="shared" si="431"/>
        <v>1.可借圖書</v>
      </c>
      <c r="AG1061" t="str">
        <f t="shared" si="432"/>
        <v>在架</v>
      </c>
      <c r="AI1061" t="s">
        <v>65</v>
      </c>
      <c r="AK1061" t="str">
        <f t="shared" si="435"/>
        <v>一般(Normal)</v>
      </c>
      <c r="AO1061" t="s">
        <v>65</v>
      </c>
      <c r="AS1061" t="str">
        <f>("c2001.")</f>
        <v>c2001.</v>
      </c>
      <c r="AT1061" t="str">
        <f t="shared" si="436"/>
        <v>catc</v>
      </c>
    </row>
    <row r="1062" spans="2:46" x14ac:dyDescent="0.25">
      <c r="B1062" t="str">
        <f>("287756")</f>
        <v>287756</v>
      </c>
      <c r="C1062" t="str">
        <f>("W00003132")</f>
        <v>W00003132</v>
      </c>
      <c r="D1062" t="str">
        <f>("Getting interviews /")</f>
        <v>Getting interviews /</v>
      </c>
      <c r="E1062" t="str">
        <f>("Wendleton, Kate.")</f>
        <v>Wendleton, Kate.</v>
      </c>
      <c r="F1062" t="str">
        <f>("Career Press,")</f>
        <v>Career Press,</v>
      </c>
      <c r="H1062" t="str">
        <f t="shared" si="429"/>
        <v>圖書 book</v>
      </c>
      <c r="I1062" t="str">
        <f>("HF5549.5.I6 W471 2000")</f>
        <v>HF5549.5.I6 W471 2000</v>
      </c>
      <c r="J1062" t="str">
        <f>("1564144488")</f>
        <v>1564144488</v>
      </c>
      <c r="K1062" t="str">
        <f t="shared" si="433"/>
        <v>0</v>
      </c>
      <c r="L1062" t="str">
        <f>("2001/10/10 00:00:00")</f>
        <v>2001/10/10 00:00:00</v>
      </c>
      <c r="M1062" t="str">
        <f>("2018/08/11 13:31:53")</f>
        <v>2018/08/11 13:31:53</v>
      </c>
      <c r="N1062" t="str">
        <f>("2000")</f>
        <v>2000</v>
      </c>
      <c r="O1062" t="str">
        <f t="shared" si="430"/>
        <v>4F西文書庫 4F Western Language Books</v>
      </c>
      <c r="P1062" t="s">
        <v>64</v>
      </c>
      <c r="W1062" t="str">
        <f t="shared" si="424"/>
        <v>美國國會圖書分類法</v>
      </c>
      <c r="Y1062" t="str">
        <f>("HF5549.5.I6")</f>
        <v>HF5549.5.I6</v>
      </c>
      <c r="Z1062" t="str">
        <f>("2018/08/11 13:31:53")</f>
        <v>2018/08/11 13:31:53</v>
      </c>
      <c r="AA1062" t="str">
        <f t="shared" si="434"/>
        <v>catc</v>
      </c>
      <c r="AC1062" t="str">
        <f>("W471")</f>
        <v>W471</v>
      </c>
      <c r="AE1062" t="str">
        <f t="shared" si="421"/>
        <v>c.1</v>
      </c>
      <c r="AF1062" t="str">
        <f t="shared" si="431"/>
        <v>1.可借圖書</v>
      </c>
      <c r="AG1062" t="str">
        <f t="shared" si="432"/>
        <v>在架</v>
      </c>
      <c r="AI1062" t="s">
        <v>65</v>
      </c>
      <c r="AK1062" t="str">
        <f t="shared" si="435"/>
        <v>一般(Normal)</v>
      </c>
      <c r="AO1062" t="s">
        <v>65</v>
      </c>
      <c r="AS1062" t="str">
        <f>("2000.")</f>
        <v>2000.</v>
      </c>
      <c r="AT1062" t="str">
        <f t="shared" si="436"/>
        <v>catc</v>
      </c>
    </row>
    <row r="1063" spans="2:46" x14ac:dyDescent="0.25">
      <c r="B1063" t="str">
        <f>("290497")</f>
        <v>290497</v>
      </c>
      <c r="C1063" t="str">
        <f>("W00003133")</f>
        <v>W00003133</v>
      </c>
      <c r="D1063" t="str">
        <f>("Harvard Business review on innovation.")</f>
        <v>Harvard Business review on innovation.</v>
      </c>
      <c r="E1063" t="str">
        <f>("")</f>
        <v/>
      </c>
      <c r="F1063" t="str">
        <f>("Harvard Business School Press,")</f>
        <v>Harvard Business School Press,</v>
      </c>
      <c r="H1063" t="str">
        <f t="shared" si="429"/>
        <v>圖書 book</v>
      </c>
      <c r="I1063" t="str">
        <f>("HD58.8 H339 2001")</f>
        <v>HD58.8 H339 2001</v>
      </c>
      <c r="J1063" t="str">
        <f>("1578516145")</f>
        <v>1578516145</v>
      </c>
      <c r="K1063" t="str">
        <f t="shared" si="433"/>
        <v>0</v>
      </c>
      <c r="L1063" t="str">
        <f>("2001/10/16 00:00:00")</f>
        <v>2001/10/16 00:00:00</v>
      </c>
      <c r="M1063" t="str">
        <f>("2018/08/11 13:36:32")</f>
        <v>2018/08/11 13:36:32</v>
      </c>
      <c r="N1063" t="str">
        <f>("2001")</f>
        <v>2001</v>
      </c>
      <c r="O1063" t="str">
        <f t="shared" si="430"/>
        <v>4F西文書庫 4F Western Language Books</v>
      </c>
      <c r="P1063" t="s">
        <v>64</v>
      </c>
      <c r="W1063" t="str">
        <f t="shared" si="424"/>
        <v>美國國會圖書分類法</v>
      </c>
      <c r="Y1063" t="str">
        <f>("HD58.8")</f>
        <v>HD58.8</v>
      </c>
      <c r="Z1063" t="str">
        <f>("2018/08/11 13:36:32")</f>
        <v>2018/08/11 13:36:32</v>
      </c>
      <c r="AA1063" t="str">
        <f t="shared" si="434"/>
        <v>catc</v>
      </c>
      <c r="AC1063" t="str">
        <f>("H339")</f>
        <v>H339</v>
      </c>
      <c r="AE1063" t="str">
        <f t="shared" si="421"/>
        <v>c.1</v>
      </c>
      <c r="AF1063" t="str">
        <f t="shared" si="431"/>
        <v>1.可借圖書</v>
      </c>
      <c r="AG1063" t="str">
        <f t="shared" si="432"/>
        <v>在架</v>
      </c>
      <c r="AI1063" t="s">
        <v>65</v>
      </c>
      <c r="AK1063" t="str">
        <f t="shared" si="435"/>
        <v>一般(Normal)</v>
      </c>
      <c r="AO1063" t="s">
        <v>65</v>
      </c>
      <c r="AS1063" t="str">
        <f>("2001.")</f>
        <v>2001.</v>
      </c>
      <c r="AT1063" t="str">
        <f t="shared" si="436"/>
        <v>catc</v>
      </c>
    </row>
    <row r="1064" spans="2:46" x14ac:dyDescent="0.25">
      <c r="B1064" t="str">
        <f>("287755")</f>
        <v>287755</v>
      </c>
      <c r="C1064" t="str">
        <f>("W00003134")</f>
        <v>W00003134</v>
      </c>
      <c r="D1064" t="str">
        <f>("How to administer an estate :a step-by-step guide for families and friends /")</f>
        <v>How to administer an estate :a step-by-step guide for families and friends /</v>
      </c>
      <c r="E1064" t="str">
        <f>("Christianson, Stephen G.")</f>
        <v>Christianson, Stephen G.</v>
      </c>
      <c r="F1064" t="str">
        <f>("Career Press,")</f>
        <v>Career Press,</v>
      </c>
      <c r="G1064" t="str">
        <f>("4th ed.")</f>
        <v>4th ed.</v>
      </c>
      <c r="H1064" t="str">
        <f t="shared" si="429"/>
        <v>圖書 book</v>
      </c>
      <c r="I1064" t="str">
        <f>("KF778.Z9 C555 2001")</f>
        <v>KF778.Z9 C555 2001</v>
      </c>
      <c r="J1064" t="str">
        <f>("1564145239")</f>
        <v>1564145239</v>
      </c>
      <c r="K1064" t="str">
        <f t="shared" si="433"/>
        <v>0</v>
      </c>
      <c r="L1064" t="str">
        <f t="shared" ref="L1064:L1070" si="438">("2001/10/10 00:00:00")</f>
        <v>2001/10/10 00:00:00</v>
      </c>
      <c r="M1064" t="str">
        <f>("2018/08/11 13:31:53")</f>
        <v>2018/08/11 13:31:53</v>
      </c>
      <c r="N1064" t="str">
        <f>("2001")</f>
        <v>2001</v>
      </c>
      <c r="O1064" t="str">
        <f t="shared" si="430"/>
        <v>4F西文書庫 4F Western Language Books</v>
      </c>
      <c r="P1064" t="s">
        <v>64</v>
      </c>
      <c r="W1064" t="str">
        <f t="shared" si="424"/>
        <v>美國國會圖書分類法</v>
      </c>
      <c r="Y1064" t="str">
        <f>("KF778.Z9")</f>
        <v>KF778.Z9</v>
      </c>
      <c r="Z1064" t="str">
        <f>("2018/08/11 13:31:53")</f>
        <v>2018/08/11 13:31:53</v>
      </c>
      <c r="AA1064" t="str">
        <f t="shared" si="434"/>
        <v>catc</v>
      </c>
      <c r="AC1064" t="str">
        <f>("C555")</f>
        <v>C555</v>
      </c>
      <c r="AE1064" t="str">
        <f t="shared" si="421"/>
        <v>c.1</v>
      </c>
      <c r="AF1064" t="str">
        <f t="shared" si="431"/>
        <v>1.可借圖書</v>
      </c>
      <c r="AG1064" t="str">
        <f t="shared" si="432"/>
        <v>在架</v>
      </c>
      <c r="AI1064" t="s">
        <v>65</v>
      </c>
      <c r="AK1064" t="str">
        <f t="shared" si="435"/>
        <v>一般(Normal)</v>
      </c>
      <c r="AO1064" t="s">
        <v>65</v>
      </c>
      <c r="AS1064" t="str">
        <f>("2001.")</f>
        <v>2001.</v>
      </c>
      <c r="AT1064" t="str">
        <f t="shared" si="436"/>
        <v>catc</v>
      </c>
    </row>
    <row r="1065" spans="2:46" x14ac:dyDescent="0.25">
      <c r="B1065" t="str">
        <f>("287787")</f>
        <v>287787</v>
      </c>
      <c r="C1065" t="str">
        <f>("W00003135")</f>
        <v>W00003135</v>
      </c>
      <c r="D1065" t="str">
        <f>("How to run successful incentive schemes :a manager's guide /")</f>
        <v>How to run successful incentive schemes :a manager's guide /</v>
      </c>
      <c r="E1065" t="str">
        <f>("Fisher, John G.")</f>
        <v>Fisher, John G.</v>
      </c>
      <c r="F1065" t="str">
        <f>("Kogan Page,")</f>
        <v>Kogan Page,</v>
      </c>
      <c r="G1065" t="str">
        <f>("2nd ed.")</f>
        <v>2nd ed.</v>
      </c>
      <c r="H1065" t="str">
        <f t="shared" si="429"/>
        <v>圖書 book</v>
      </c>
      <c r="I1065" t="str">
        <f>("HF5549.5.M63 F534 2000")</f>
        <v>HF5549.5.M63 F534 2000</v>
      </c>
      <c r="J1065" t="str">
        <f>("0749434074")</f>
        <v>0749434074</v>
      </c>
      <c r="K1065" t="str">
        <f t="shared" si="433"/>
        <v>0</v>
      </c>
      <c r="L1065" t="str">
        <f t="shared" si="438"/>
        <v>2001/10/10 00:00:00</v>
      </c>
      <c r="M1065" t="str">
        <f>("2018/08/11 13:31:53")</f>
        <v>2018/08/11 13:31:53</v>
      </c>
      <c r="N1065" t="str">
        <f>("2000")</f>
        <v>2000</v>
      </c>
      <c r="O1065" t="str">
        <f t="shared" si="430"/>
        <v>4F西文書庫 4F Western Language Books</v>
      </c>
      <c r="P1065" t="s">
        <v>64</v>
      </c>
      <c r="W1065" t="str">
        <f t="shared" si="424"/>
        <v>美國國會圖書分類法</v>
      </c>
      <c r="Y1065" t="str">
        <f>("HF5549.5.M63")</f>
        <v>HF5549.5.M63</v>
      </c>
      <c r="Z1065" t="str">
        <f>("2018/08/11 13:31:53")</f>
        <v>2018/08/11 13:31:53</v>
      </c>
      <c r="AA1065" t="str">
        <f t="shared" si="434"/>
        <v>catc</v>
      </c>
      <c r="AC1065" t="str">
        <f>("F534")</f>
        <v>F534</v>
      </c>
      <c r="AE1065" t="str">
        <f t="shared" si="421"/>
        <v>c.1</v>
      </c>
      <c r="AF1065" t="str">
        <f t="shared" si="431"/>
        <v>1.可借圖書</v>
      </c>
      <c r="AG1065" t="str">
        <f t="shared" si="432"/>
        <v>在架</v>
      </c>
      <c r="AI1065" t="s">
        <v>65</v>
      </c>
      <c r="AK1065" t="str">
        <f t="shared" si="435"/>
        <v>一般(Normal)</v>
      </c>
      <c r="AO1065" t="s">
        <v>65</v>
      </c>
      <c r="AS1065" t="str">
        <f>("c2000.")</f>
        <v>c2000.</v>
      </c>
      <c r="AT1065" t="str">
        <f t="shared" si="436"/>
        <v>catc</v>
      </c>
    </row>
    <row r="1066" spans="2:46" x14ac:dyDescent="0.25">
      <c r="B1066" t="str">
        <f>("287754")</f>
        <v>287754</v>
      </c>
      <c r="C1066" t="str">
        <f>("W00003136")</f>
        <v>W00003136</v>
      </c>
      <c r="D1066" t="str">
        <f>("Indispensable employees :how to hire them, how to keep them /")</f>
        <v>Indispensable employees :how to hire them, how to keep them /</v>
      </c>
      <c r="E1066" t="str">
        <f>("Fields, Martha R. A.")</f>
        <v>Fields, Martha R. A.</v>
      </c>
      <c r="F1066" t="str">
        <f>("Career Press,")</f>
        <v>Career Press,</v>
      </c>
      <c r="H1066" t="str">
        <f t="shared" si="429"/>
        <v>圖書 book</v>
      </c>
      <c r="I1066" t="str">
        <f>("HF5549.5.R58 F462 2001")</f>
        <v>HF5549.5.R58 F462 2001</v>
      </c>
      <c r="J1066" t="str">
        <f>("1564145166")</f>
        <v>1564145166</v>
      </c>
      <c r="K1066" t="str">
        <f t="shared" si="433"/>
        <v>0</v>
      </c>
      <c r="L1066" t="str">
        <f t="shared" si="438"/>
        <v>2001/10/10 00:00:00</v>
      </c>
      <c r="M1066" t="str">
        <f>("2018/08/11 13:31:53")</f>
        <v>2018/08/11 13:31:53</v>
      </c>
      <c r="N1066" t="str">
        <f>("2001")</f>
        <v>2001</v>
      </c>
      <c r="O1066" t="str">
        <f t="shared" si="430"/>
        <v>4F西文書庫 4F Western Language Books</v>
      </c>
      <c r="P1066" t="s">
        <v>64</v>
      </c>
      <c r="W1066" t="str">
        <f t="shared" si="424"/>
        <v>美國國會圖書分類法</v>
      </c>
      <c r="Y1066" t="str">
        <f>("HF5549.5.R58")</f>
        <v>HF5549.5.R58</v>
      </c>
      <c r="Z1066" t="str">
        <f>("2018/08/11 13:31:53")</f>
        <v>2018/08/11 13:31:53</v>
      </c>
      <c r="AA1066" t="str">
        <f t="shared" si="434"/>
        <v>catc</v>
      </c>
      <c r="AC1066" t="str">
        <f>("F462")</f>
        <v>F462</v>
      </c>
      <c r="AE1066" t="str">
        <f t="shared" si="421"/>
        <v>c.1</v>
      </c>
      <c r="AF1066" t="str">
        <f t="shared" si="431"/>
        <v>1.可借圖書</v>
      </c>
      <c r="AG1066" t="str">
        <f t="shared" si="432"/>
        <v>在架</v>
      </c>
      <c r="AI1066" t="s">
        <v>65</v>
      </c>
      <c r="AK1066" t="str">
        <f t="shared" si="435"/>
        <v>一般(Normal)</v>
      </c>
      <c r="AO1066" t="s">
        <v>65</v>
      </c>
      <c r="AS1066" t="str">
        <f>("2001.")</f>
        <v>2001.</v>
      </c>
      <c r="AT1066" t="str">
        <f t="shared" si="436"/>
        <v>catc</v>
      </c>
    </row>
    <row r="1067" spans="2:46" x14ac:dyDescent="0.25">
      <c r="B1067" t="str">
        <f>("287788")</f>
        <v>287788</v>
      </c>
      <c r="C1067" t="str">
        <f>("W00003137")</f>
        <v>W00003137</v>
      </c>
      <c r="D1067" t="str">
        <f>("Key marketing skills :a complete action kit of strategies, tools &amp; techniques for marketing success /")</f>
        <v>Key marketing skills :a complete action kit of strategies, tools &amp; techniques for marketing success /</v>
      </c>
      <c r="E1067" t="str">
        <f>("Cheverton, Peter.")</f>
        <v>Cheverton, Peter.</v>
      </c>
      <c r="F1067" t="str">
        <f>("Kogan Page,")</f>
        <v>Kogan Page,</v>
      </c>
      <c r="H1067" t="str">
        <f t="shared" si="429"/>
        <v>圖書 book</v>
      </c>
      <c r="I1067" t="str">
        <f>("HF5415 C527 2000")</f>
        <v>HF5415 C527 2000</v>
      </c>
      <c r="J1067" t="str">
        <f>("0749433558")</f>
        <v>0749433558</v>
      </c>
      <c r="K1067" t="str">
        <f t="shared" si="433"/>
        <v>0</v>
      </c>
      <c r="L1067" t="str">
        <f t="shared" si="438"/>
        <v>2001/10/10 00:00:00</v>
      </c>
      <c r="M1067" t="str">
        <f>("2018/08/11 13:31:53")</f>
        <v>2018/08/11 13:31:53</v>
      </c>
      <c r="N1067" t="str">
        <f>("2000")</f>
        <v>2000</v>
      </c>
      <c r="O1067" t="str">
        <f t="shared" si="430"/>
        <v>4F西文書庫 4F Western Language Books</v>
      </c>
      <c r="P1067" t="s">
        <v>64</v>
      </c>
      <c r="W1067" t="str">
        <f t="shared" si="424"/>
        <v>美國國會圖書分類法</v>
      </c>
      <c r="Y1067" t="str">
        <f>("HF5415")</f>
        <v>HF5415</v>
      </c>
      <c r="Z1067" t="str">
        <f>("2018/08/11 13:31:53")</f>
        <v>2018/08/11 13:31:53</v>
      </c>
      <c r="AA1067" t="str">
        <f t="shared" si="434"/>
        <v>catc</v>
      </c>
      <c r="AC1067" t="str">
        <f>("C527")</f>
        <v>C527</v>
      </c>
      <c r="AE1067" t="str">
        <f t="shared" si="421"/>
        <v>c.1</v>
      </c>
      <c r="AF1067" t="str">
        <f t="shared" si="431"/>
        <v>1.可借圖書</v>
      </c>
      <c r="AG1067" t="str">
        <f t="shared" si="432"/>
        <v>在架</v>
      </c>
      <c r="AI1067" t="s">
        <v>65</v>
      </c>
      <c r="AK1067" t="str">
        <f t="shared" si="435"/>
        <v>一般(Normal)</v>
      </c>
      <c r="AO1067" t="s">
        <v>65</v>
      </c>
      <c r="AS1067" t="str">
        <f>("2000.")</f>
        <v>2000.</v>
      </c>
      <c r="AT1067" t="str">
        <f t="shared" si="436"/>
        <v>catc</v>
      </c>
    </row>
    <row r="1068" spans="2:46" x14ac:dyDescent="0.25">
      <c r="B1068" t="str">
        <f>("287831")</f>
        <v>287831</v>
      </c>
      <c r="C1068" t="str">
        <f>("W00003138")</f>
        <v>W00003138</v>
      </c>
      <c r="D1068" t="str">
        <f>("Lectures on corporate finance /")</f>
        <v>Lectures on corporate finance /</v>
      </c>
      <c r="E1068" t="str">
        <f>("Bossaerts, Peter L.")</f>
        <v>Bossaerts, Peter L.</v>
      </c>
      <c r="F1068" t="str">
        <f>("World Scientific,")</f>
        <v>World Scientific,</v>
      </c>
      <c r="H1068" t="str">
        <f t="shared" si="429"/>
        <v>圖書 book</v>
      </c>
      <c r="I1068" t="str">
        <f>("HG4026 B745 2001")</f>
        <v>HG4026 B745 2001</v>
      </c>
      <c r="J1068" t="str">
        <f>("9810244258")</f>
        <v>9810244258</v>
      </c>
      <c r="K1068" t="str">
        <f t="shared" si="433"/>
        <v>0</v>
      </c>
      <c r="L1068" t="str">
        <f t="shared" si="438"/>
        <v>2001/10/10 00:00:00</v>
      </c>
      <c r="M1068" t="str">
        <f>("2018/08/11 13:31:57")</f>
        <v>2018/08/11 13:31:57</v>
      </c>
      <c r="N1068" t="str">
        <f>("2001")</f>
        <v>2001</v>
      </c>
      <c r="O1068" t="str">
        <f t="shared" si="430"/>
        <v>4F西文書庫 4F Western Language Books</v>
      </c>
      <c r="P1068" t="s">
        <v>64</v>
      </c>
      <c r="W1068" t="str">
        <f t="shared" si="424"/>
        <v>美國國會圖書分類法</v>
      </c>
      <c r="Y1068" t="str">
        <f>("HG4026")</f>
        <v>HG4026</v>
      </c>
      <c r="Z1068" t="str">
        <f>("2018/08/11 13:31:57")</f>
        <v>2018/08/11 13:31:57</v>
      </c>
      <c r="AA1068" t="str">
        <f t="shared" si="434"/>
        <v>catc</v>
      </c>
      <c r="AC1068" t="str">
        <f>("B745")</f>
        <v>B745</v>
      </c>
      <c r="AE1068" t="str">
        <f t="shared" si="421"/>
        <v>c.1</v>
      </c>
      <c r="AF1068" t="str">
        <f t="shared" si="431"/>
        <v>1.可借圖書</v>
      </c>
      <c r="AG1068" t="str">
        <f t="shared" si="432"/>
        <v>在架</v>
      </c>
      <c r="AI1068" t="s">
        <v>65</v>
      </c>
      <c r="AK1068" t="str">
        <f t="shared" si="435"/>
        <v>一般(Normal)</v>
      </c>
      <c r="AO1068" t="s">
        <v>65</v>
      </c>
      <c r="AS1068" t="str">
        <f>("c2001.")</f>
        <v>c2001.</v>
      </c>
      <c r="AT1068" t="str">
        <f t="shared" si="436"/>
        <v>catc</v>
      </c>
    </row>
    <row r="1069" spans="2:46" x14ac:dyDescent="0.25">
      <c r="B1069" t="str">
        <f>("287753")</f>
        <v>287753</v>
      </c>
      <c r="C1069" t="str">
        <f>("W00003139")</f>
        <v>W00003139</v>
      </c>
      <c r="D1069" t="str">
        <f>("More than a motorcycle :the leadership journey at Harley-Davidson /")</f>
        <v>More than a motorcycle :the leadership journey at Harley-Davidson /</v>
      </c>
      <c r="E1069" t="str">
        <f>("Teerlink, Rich,1936-")</f>
        <v>Teerlink, Rich,1936-</v>
      </c>
      <c r="F1069" t="str">
        <f>("Harvard Business School Press,")</f>
        <v>Harvard Business School Press,</v>
      </c>
      <c r="H1069" t="str">
        <f t="shared" si="429"/>
        <v>圖書 book</v>
      </c>
      <c r="I1069" t="str">
        <f>("HD9710.5.U54 T258 2000")</f>
        <v>HD9710.5.U54 T258 2000</v>
      </c>
      <c r="J1069" t="str">
        <f>("0875849504")</f>
        <v>0875849504</v>
      </c>
      <c r="K1069" t="str">
        <f t="shared" si="433"/>
        <v>0</v>
      </c>
      <c r="L1069" t="str">
        <f t="shared" si="438"/>
        <v>2001/10/10 00:00:00</v>
      </c>
      <c r="M1069" t="str">
        <f>("2018/08/11 13:31:53")</f>
        <v>2018/08/11 13:31:53</v>
      </c>
      <c r="N1069" t="str">
        <f>("2000")</f>
        <v>2000</v>
      </c>
      <c r="O1069" t="str">
        <f t="shared" si="430"/>
        <v>4F西文書庫 4F Western Language Books</v>
      </c>
      <c r="P1069" t="s">
        <v>64</v>
      </c>
      <c r="W1069" t="str">
        <f t="shared" si="424"/>
        <v>美國國會圖書分類法</v>
      </c>
      <c r="Y1069" t="str">
        <f>("HD9710.5.U54")</f>
        <v>HD9710.5.U54</v>
      </c>
      <c r="Z1069" t="str">
        <f>("2018/08/11 13:31:53")</f>
        <v>2018/08/11 13:31:53</v>
      </c>
      <c r="AA1069" t="str">
        <f t="shared" si="434"/>
        <v>catc</v>
      </c>
      <c r="AC1069" t="str">
        <f>("T258")</f>
        <v>T258</v>
      </c>
      <c r="AE1069" t="str">
        <f t="shared" ref="AE1069:AE1116" si="439">("c.1")</f>
        <v>c.1</v>
      </c>
      <c r="AF1069" t="str">
        <f t="shared" si="431"/>
        <v>1.可借圖書</v>
      </c>
      <c r="AG1069" t="str">
        <f t="shared" si="432"/>
        <v>在架</v>
      </c>
      <c r="AI1069" t="s">
        <v>65</v>
      </c>
      <c r="AK1069" t="str">
        <f t="shared" si="435"/>
        <v>一般(Normal)</v>
      </c>
      <c r="AO1069" t="s">
        <v>65</v>
      </c>
      <c r="AS1069" t="str">
        <f>("c2000.")</f>
        <v>c2000.</v>
      </c>
      <c r="AT1069" t="str">
        <f t="shared" si="436"/>
        <v>catc</v>
      </c>
    </row>
    <row r="1070" spans="2:46" x14ac:dyDescent="0.25">
      <c r="B1070" t="str">
        <f>("287785")</f>
        <v>287785</v>
      </c>
      <c r="C1070" t="str">
        <f>("W00003140")</f>
        <v>W00003140</v>
      </c>
      <c r="D1070" t="str">
        <f>("The 50 best (and worst) business deals of all time /")</f>
        <v>The 50 best (and worst) business deals of all time /</v>
      </c>
      <c r="E1070" t="str">
        <f>("Craig, Michael.")</f>
        <v>Craig, Michael.</v>
      </c>
      <c r="F1070" t="str">
        <f>("Career Press,")</f>
        <v>Career Press,</v>
      </c>
      <c r="H1070" t="str">
        <f t="shared" si="429"/>
        <v>圖書 book</v>
      </c>
      <c r="I1070" t="str">
        <f>("HD58.6 C886 2000")</f>
        <v>HD58.6 C886 2000</v>
      </c>
      <c r="J1070" t="str">
        <f>("156414478X")</f>
        <v>156414478X</v>
      </c>
      <c r="K1070" t="str">
        <f t="shared" si="433"/>
        <v>0</v>
      </c>
      <c r="L1070" t="str">
        <f t="shared" si="438"/>
        <v>2001/10/10 00:00:00</v>
      </c>
      <c r="M1070" t="str">
        <f>("2018/08/11 13:31:53")</f>
        <v>2018/08/11 13:31:53</v>
      </c>
      <c r="N1070" t="str">
        <f>("2000")</f>
        <v>2000</v>
      </c>
      <c r="O1070" t="str">
        <f t="shared" si="430"/>
        <v>4F西文書庫 4F Western Language Books</v>
      </c>
      <c r="P1070" t="s">
        <v>64</v>
      </c>
      <c r="W1070" t="str">
        <f t="shared" si="424"/>
        <v>美國國會圖書分類法</v>
      </c>
      <c r="Y1070" t="str">
        <f>("HD58.6")</f>
        <v>HD58.6</v>
      </c>
      <c r="Z1070" t="str">
        <f>("2018/08/11 13:31:53")</f>
        <v>2018/08/11 13:31:53</v>
      </c>
      <c r="AA1070" t="str">
        <f t="shared" si="434"/>
        <v>catc</v>
      </c>
      <c r="AC1070" t="str">
        <f>("C886")</f>
        <v>C886</v>
      </c>
      <c r="AE1070" t="str">
        <f t="shared" si="439"/>
        <v>c.1</v>
      </c>
      <c r="AF1070" t="str">
        <f t="shared" si="431"/>
        <v>1.可借圖書</v>
      </c>
      <c r="AG1070" t="str">
        <f t="shared" si="432"/>
        <v>在架</v>
      </c>
      <c r="AI1070" t="s">
        <v>65</v>
      </c>
      <c r="AK1070" t="str">
        <f t="shared" si="435"/>
        <v>一般(Normal)</v>
      </c>
      <c r="AO1070" t="s">
        <v>65</v>
      </c>
      <c r="AS1070" t="str">
        <f>("c2000.")</f>
        <v>c2000.</v>
      </c>
      <c r="AT1070" t="str">
        <f t="shared" si="436"/>
        <v>catc</v>
      </c>
    </row>
    <row r="1071" spans="2:46" x14ac:dyDescent="0.25">
      <c r="B1071" t="str">
        <f>("290496")</f>
        <v>290496</v>
      </c>
      <c r="C1071" t="str">
        <f>("W00003141")</f>
        <v>W00003141</v>
      </c>
      <c r="D1071" t="str">
        <f>("The digital enterprise :how to reshape your business for a connected world /")</f>
        <v>The digital enterprise :how to reshape your business for a connected world /</v>
      </c>
      <c r="E1071" t="str">
        <f>("Carr, Nicholas G.,1959-")</f>
        <v>Carr, Nicholas G.,1959-</v>
      </c>
      <c r="F1071" t="str">
        <f>("Harvard Business School Press,")</f>
        <v>Harvard Business School Press,</v>
      </c>
      <c r="H1071" t="str">
        <f t="shared" si="429"/>
        <v>圖書 book</v>
      </c>
      <c r="I1071" t="str">
        <f>("HD30.2 D574 2001")</f>
        <v>HD30.2 D574 2001</v>
      </c>
      <c r="J1071" t="str">
        <f>("1578515580")</f>
        <v>1578515580</v>
      </c>
      <c r="K1071" t="str">
        <f t="shared" si="433"/>
        <v>0</v>
      </c>
      <c r="L1071" t="str">
        <f>("2001/10/16 00:00:00")</f>
        <v>2001/10/16 00:00:00</v>
      </c>
      <c r="M1071" t="str">
        <f>("2018/08/11 13:36:32")</f>
        <v>2018/08/11 13:36:32</v>
      </c>
      <c r="N1071" t="str">
        <f>("2001")</f>
        <v>2001</v>
      </c>
      <c r="O1071" t="str">
        <f t="shared" si="430"/>
        <v>4F西文書庫 4F Western Language Books</v>
      </c>
      <c r="P1071" t="s">
        <v>64</v>
      </c>
      <c r="W1071" t="str">
        <f t="shared" si="424"/>
        <v>美國國會圖書分類法</v>
      </c>
      <c r="Y1071" t="str">
        <f>("HD30.2")</f>
        <v>HD30.2</v>
      </c>
      <c r="Z1071" t="str">
        <f>("2018/08/11 13:36:32")</f>
        <v>2018/08/11 13:36:32</v>
      </c>
      <c r="AA1071" t="str">
        <f t="shared" si="434"/>
        <v>catc</v>
      </c>
      <c r="AC1071" t="str">
        <f>("D574")</f>
        <v>D574</v>
      </c>
      <c r="AE1071" t="str">
        <f t="shared" si="439"/>
        <v>c.1</v>
      </c>
      <c r="AF1071" t="str">
        <f t="shared" si="431"/>
        <v>1.可借圖書</v>
      </c>
      <c r="AG1071" t="str">
        <f t="shared" si="432"/>
        <v>在架</v>
      </c>
      <c r="AI1071" t="s">
        <v>65</v>
      </c>
      <c r="AK1071" t="str">
        <f t="shared" si="435"/>
        <v>一般(Normal)</v>
      </c>
      <c r="AO1071" t="s">
        <v>65</v>
      </c>
      <c r="AS1071" t="str">
        <f>("2001.")</f>
        <v>2001.</v>
      </c>
      <c r="AT1071" t="str">
        <f t="shared" si="436"/>
        <v>catc</v>
      </c>
    </row>
    <row r="1072" spans="2:46" x14ac:dyDescent="0.25">
      <c r="B1072" t="str">
        <f>("287783")</f>
        <v>287783</v>
      </c>
      <c r="C1072" t="str">
        <f>("W00003142")</f>
        <v>W00003142</v>
      </c>
      <c r="D1072" t="str">
        <f>("The EVA challenge :implementing value-added change in an organization /")</f>
        <v>The EVA challenge :implementing value-added change in an organization /</v>
      </c>
      <c r="E1072" t="str">
        <f>("Stern, Joel M.")</f>
        <v>Stern, Joel M.</v>
      </c>
      <c r="F1072" t="str">
        <f>("Wiley,")</f>
        <v>Wiley,</v>
      </c>
      <c r="H1072" t="str">
        <f t="shared" si="429"/>
        <v>圖書 book</v>
      </c>
      <c r="I1072" t="str">
        <f>("HG4028.V3 S839 2001")</f>
        <v>HG4028.V3 S839 2001</v>
      </c>
      <c r="J1072" t="str">
        <f>("0471405558")</f>
        <v>0471405558</v>
      </c>
      <c r="K1072" t="str">
        <f t="shared" si="433"/>
        <v>0</v>
      </c>
      <c r="L1072" t="str">
        <f t="shared" ref="L1072:L1087" si="440">("2001/10/10 00:00:00")</f>
        <v>2001/10/10 00:00:00</v>
      </c>
      <c r="M1072" t="str">
        <f t="shared" ref="M1072:M1077" si="441">("2018/08/11 13:31:52")</f>
        <v>2018/08/11 13:31:52</v>
      </c>
      <c r="N1072" t="str">
        <f>("2001")</f>
        <v>2001</v>
      </c>
      <c r="O1072" t="str">
        <f t="shared" si="430"/>
        <v>4F西文書庫 4F Western Language Books</v>
      </c>
      <c r="P1072" t="s">
        <v>64</v>
      </c>
      <c r="W1072" t="str">
        <f t="shared" si="424"/>
        <v>美國國會圖書分類法</v>
      </c>
      <c r="Y1072" t="str">
        <f>("HG4028.V3")</f>
        <v>HG4028.V3</v>
      </c>
      <c r="Z1072" t="str">
        <f t="shared" ref="Z1072:Z1077" si="442">("2018/08/11 13:31:52")</f>
        <v>2018/08/11 13:31:52</v>
      </c>
      <c r="AA1072" t="str">
        <f t="shared" si="434"/>
        <v>catc</v>
      </c>
      <c r="AC1072" t="str">
        <f>("S839")</f>
        <v>S839</v>
      </c>
      <c r="AE1072" t="str">
        <f t="shared" si="439"/>
        <v>c.1</v>
      </c>
      <c r="AF1072" t="str">
        <f t="shared" si="431"/>
        <v>1.可借圖書</v>
      </c>
      <c r="AG1072" t="str">
        <f t="shared" si="432"/>
        <v>在架</v>
      </c>
      <c r="AI1072" t="s">
        <v>65</v>
      </c>
      <c r="AK1072" t="str">
        <f t="shared" si="435"/>
        <v>一般(Normal)</v>
      </c>
      <c r="AO1072" t="s">
        <v>65</v>
      </c>
      <c r="AS1072" t="str">
        <f>("c2001.")</f>
        <v>c2001.</v>
      </c>
      <c r="AT1072" t="str">
        <f t="shared" si="436"/>
        <v>catc</v>
      </c>
    </row>
    <row r="1073" spans="2:46" x14ac:dyDescent="0.25">
      <c r="B1073" t="str">
        <f>("287782")</f>
        <v>287782</v>
      </c>
      <c r="C1073" t="str">
        <f>("W00003143")</f>
        <v>W00003143</v>
      </c>
      <c r="D1073" t="str">
        <f>("The get-started guide to e-commerce :getting online, creating successful Web sites, order fulfillment, getting noticed /")</f>
        <v>The get-started guide to e-commerce :getting online, creating successful Web sites, order fulfillment, getting noticed /</v>
      </c>
      <c r="E1073" t="str">
        <f>("Zilliox, Danielle.")</f>
        <v>Zilliox, Danielle.</v>
      </c>
      <c r="F1073" t="str">
        <f>("AMACOM,")</f>
        <v>AMACOM,</v>
      </c>
      <c r="H1073" t="str">
        <f t="shared" si="429"/>
        <v>圖書 book</v>
      </c>
      <c r="I1073" t="str">
        <f>("HF5548.32 Z69 2001")</f>
        <v>HF5548.32 Z69 2001</v>
      </c>
      <c r="J1073" t="str">
        <f>("081447117X")</f>
        <v>081447117X</v>
      </c>
      <c r="K1073" t="str">
        <f t="shared" si="433"/>
        <v>0</v>
      </c>
      <c r="L1073" t="str">
        <f t="shared" si="440"/>
        <v>2001/10/10 00:00:00</v>
      </c>
      <c r="M1073" t="str">
        <f t="shared" si="441"/>
        <v>2018/08/11 13:31:52</v>
      </c>
      <c r="N1073" t="str">
        <f>("2001")</f>
        <v>2001</v>
      </c>
      <c r="O1073" t="str">
        <f t="shared" si="430"/>
        <v>4F西文書庫 4F Western Language Books</v>
      </c>
      <c r="P1073" t="s">
        <v>64</v>
      </c>
      <c r="W1073" t="str">
        <f t="shared" si="424"/>
        <v>美國國會圖書分類法</v>
      </c>
      <c r="Y1073" t="str">
        <f>("HF5548.32")</f>
        <v>HF5548.32</v>
      </c>
      <c r="Z1073" t="str">
        <f t="shared" si="442"/>
        <v>2018/08/11 13:31:52</v>
      </c>
      <c r="AA1073" t="str">
        <f t="shared" si="434"/>
        <v>catc</v>
      </c>
      <c r="AC1073" t="str">
        <f>("Z69")</f>
        <v>Z69</v>
      </c>
      <c r="AE1073" t="str">
        <f t="shared" si="439"/>
        <v>c.1</v>
      </c>
      <c r="AF1073" t="str">
        <f t="shared" si="431"/>
        <v>1.可借圖書</v>
      </c>
      <c r="AG1073" t="str">
        <f t="shared" si="432"/>
        <v>在架</v>
      </c>
      <c r="AI1073" t="s">
        <v>65</v>
      </c>
      <c r="AK1073" t="str">
        <f t="shared" si="435"/>
        <v>一般(Normal)</v>
      </c>
      <c r="AO1073" t="s">
        <v>65</v>
      </c>
      <c r="AS1073" t="str">
        <f>("2001.")</f>
        <v>2001.</v>
      </c>
      <c r="AT1073" t="str">
        <f t="shared" si="436"/>
        <v>catc</v>
      </c>
    </row>
    <row r="1074" spans="2:46" x14ac:dyDescent="0.25">
      <c r="B1074" t="str">
        <f>("287781")</f>
        <v>287781</v>
      </c>
      <c r="C1074" t="str">
        <f>("W00003144")</f>
        <v>W00003144</v>
      </c>
      <c r="D1074" t="str">
        <f>("The Nokia revolution :the story of an extraordinary company that transformed an industry /")</f>
        <v>The Nokia revolution :the story of an extraordinary company that transformed an industry /</v>
      </c>
      <c r="E1074" t="str">
        <f>("Steinbock, Dan")</f>
        <v>Steinbock, Dan</v>
      </c>
      <c r="F1074" t="str">
        <f>("AMACOM,")</f>
        <v>AMACOM,</v>
      </c>
      <c r="H1074" t="str">
        <f t="shared" si="429"/>
        <v>圖書 book</v>
      </c>
      <c r="I1074" t="str">
        <f>("HD9697.T454 S819 2001")</f>
        <v>HD9697.T454 S819 2001</v>
      </c>
      <c r="J1074" t="str">
        <f>("081440636X")</f>
        <v>081440636X</v>
      </c>
      <c r="K1074" t="str">
        <f t="shared" si="433"/>
        <v>0</v>
      </c>
      <c r="L1074" t="str">
        <f t="shared" si="440"/>
        <v>2001/10/10 00:00:00</v>
      </c>
      <c r="M1074" t="str">
        <f t="shared" si="441"/>
        <v>2018/08/11 13:31:52</v>
      </c>
      <c r="N1074" t="str">
        <f>("2001")</f>
        <v>2001</v>
      </c>
      <c r="O1074" t="str">
        <f t="shared" si="430"/>
        <v>4F西文書庫 4F Western Language Books</v>
      </c>
      <c r="P1074" t="s">
        <v>64</v>
      </c>
      <c r="S1074" t="str">
        <f>("xxxvii,375p. :")</f>
        <v>xxxvii,375p. :</v>
      </c>
      <c r="T1074" t="str">
        <f>("ill. ;")</f>
        <v>ill. ;</v>
      </c>
      <c r="U1074" t="str">
        <f>("24 cm")</f>
        <v>24 cm</v>
      </c>
      <c r="W1074" t="str">
        <f t="shared" si="424"/>
        <v>美國國會圖書分類法</v>
      </c>
      <c r="Y1074" t="str">
        <f>("HD9697.T454")</f>
        <v>HD9697.T454</v>
      </c>
      <c r="Z1074" t="str">
        <f t="shared" si="442"/>
        <v>2018/08/11 13:31:52</v>
      </c>
      <c r="AA1074" t="str">
        <f t="shared" si="434"/>
        <v>catc</v>
      </c>
      <c r="AC1074" t="str">
        <f>("S819")</f>
        <v>S819</v>
      </c>
      <c r="AE1074" t="str">
        <f t="shared" si="439"/>
        <v>c.1</v>
      </c>
      <c r="AF1074" t="str">
        <f t="shared" si="431"/>
        <v>1.可借圖書</v>
      </c>
      <c r="AG1074" t="str">
        <f t="shared" si="432"/>
        <v>在架</v>
      </c>
      <c r="AI1074" t="s">
        <v>65</v>
      </c>
      <c r="AK1074" t="str">
        <f t="shared" si="435"/>
        <v>一般(Normal)</v>
      </c>
      <c r="AO1074" t="s">
        <v>65</v>
      </c>
      <c r="AS1074" t="str">
        <f>("c2001")</f>
        <v>c2001</v>
      </c>
      <c r="AT1074" t="str">
        <f t="shared" si="436"/>
        <v>catc</v>
      </c>
    </row>
    <row r="1075" spans="2:46" x14ac:dyDescent="0.25">
      <c r="B1075" t="str">
        <f>("287780")</f>
        <v>287780</v>
      </c>
      <c r="C1075" t="str">
        <f>("W00003145")</f>
        <v>W00003145</v>
      </c>
      <c r="D1075" t="str">
        <f>("Unlock behavior, unleash profits :how your leadership behavior can unlock the profitability of your organization /")</f>
        <v>Unlock behavior, unleash profits :how your leadership behavior can unlock the profitability of your organization /</v>
      </c>
      <c r="E1075" t="str">
        <f>("Braksick, Leslie Wilk.")</f>
        <v>Braksick, Leslie Wilk.</v>
      </c>
      <c r="F1075" t="str">
        <f>("McGraw-Hill,")</f>
        <v>McGraw-Hill,</v>
      </c>
      <c r="H1075" t="str">
        <f t="shared" si="429"/>
        <v>圖書 book</v>
      </c>
      <c r="I1075" t="str">
        <f>("HF5549.5.M63 B814 2000")</f>
        <v>HF5549.5.M63 B814 2000</v>
      </c>
      <c r="J1075" t="str">
        <f>("0071358781")</f>
        <v>0071358781</v>
      </c>
      <c r="K1075" t="str">
        <f t="shared" si="433"/>
        <v>0</v>
      </c>
      <c r="L1075" t="str">
        <f t="shared" si="440"/>
        <v>2001/10/10 00:00:00</v>
      </c>
      <c r="M1075" t="str">
        <f t="shared" si="441"/>
        <v>2018/08/11 13:31:52</v>
      </c>
      <c r="N1075" t="str">
        <f>("2000")</f>
        <v>2000</v>
      </c>
      <c r="O1075" t="str">
        <f t="shared" si="430"/>
        <v>4F西文書庫 4F Western Language Books</v>
      </c>
      <c r="P1075" t="s">
        <v>64</v>
      </c>
      <c r="S1075" t="str">
        <f>("xix, 291 p. :")</f>
        <v>xix, 291 p. :</v>
      </c>
      <c r="T1075" t="str">
        <f>("ill. ;")</f>
        <v>ill. ;</v>
      </c>
      <c r="U1075" t="str">
        <f>("24 cm.")</f>
        <v>24 cm.</v>
      </c>
      <c r="W1075" t="str">
        <f t="shared" si="424"/>
        <v>美國國會圖書分類法</v>
      </c>
      <c r="Y1075" t="str">
        <f>("HF5549.5.M63")</f>
        <v>HF5549.5.M63</v>
      </c>
      <c r="Z1075" t="str">
        <f t="shared" si="442"/>
        <v>2018/08/11 13:31:52</v>
      </c>
      <c r="AA1075" t="str">
        <f t="shared" si="434"/>
        <v>catc</v>
      </c>
      <c r="AC1075" t="str">
        <f>("B814")</f>
        <v>B814</v>
      </c>
      <c r="AE1075" t="str">
        <f t="shared" si="439"/>
        <v>c.1</v>
      </c>
      <c r="AF1075" t="str">
        <f t="shared" si="431"/>
        <v>1.可借圖書</v>
      </c>
      <c r="AG1075" t="str">
        <f t="shared" si="432"/>
        <v>在架</v>
      </c>
      <c r="AI1075" t="s">
        <v>65</v>
      </c>
      <c r="AK1075" t="str">
        <f t="shared" si="435"/>
        <v>一般(Normal)</v>
      </c>
      <c r="AO1075" t="s">
        <v>65</v>
      </c>
      <c r="AS1075" t="str">
        <f>("c2000.")</f>
        <v>c2000.</v>
      </c>
      <c r="AT1075" t="str">
        <f t="shared" si="436"/>
        <v>catc</v>
      </c>
    </row>
    <row r="1076" spans="2:46" x14ac:dyDescent="0.25">
      <c r="B1076" t="str">
        <f>("287779")</f>
        <v>287779</v>
      </c>
      <c r="C1076" t="str">
        <f>("W00003146")</f>
        <v>W00003146</v>
      </c>
      <c r="D1076" t="str">
        <f>("Virtual teams :people working across boundaries with technology /")</f>
        <v>Virtual teams :people working across boundaries with technology /</v>
      </c>
      <c r="E1076" t="str">
        <f>("Lipnack, Jessica.")</f>
        <v>Lipnack, Jessica.</v>
      </c>
      <c r="F1076" t="str">
        <f>("Wiley,")</f>
        <v>Wiley,</v>
      </c>
      <c r="G1076" t="str">
        <f>("2nd ed.")</f>
        <v>2nd ed.</v>
      </c>
      <c r="H1076" t="str">
        <f t="shared" si="429"/>
        <v>圖書 book</v>
      </c>
      <c r="I1076" t="str">
        <f>("HD66.2 L764 2000")</f>
        <v>HD66.2 L764 2000</v>
      </c>
      <c r="J1076" t="str">
        <f>("0471388254")</f>
        <v>0471388254</v>
      </c>
      <c r="K1076" t="str">
        <f t="shared" si="433"/>
        <v>0</v>
      </c>
      <c r="L1076" t="str">
        <f t="shared" si="440"/>
        <v>2001/10/10 00:00:00</v>
      </c>
      <c r="M1076" t="str">
        <f t="shared" si="441"/>
        <v>2018/08/11 13:31:52</v>
      </c>
      <c r="N1076" t="str">
        <f>("2000")</f>
        <v>2000</v>
      </c>
      <c r="O1076" t="str">
        <f t="shared" si="430"/>
        <v>4F西文書庫 4F Western Language Books</v>
      </c>
      <c r="P1076" t="s">
        <v>64</v>
      </c>
      <c r="W1076" t="str">
        <f t="shared" si="424"/>
        <v>美國國會圖書分類法</v>
      </c>
      <c r="Y1076" t="str">
        <f>("HD66.2")</f>
        <v>HD66.2</v>
      </c>
      <c r="Z1076" t="str">
        <f t="shared" si="442"/>
        <v>2018/08/11 13:31:52</v>
      </c>
      <c r="AA1076" t="str">
        <f t="shared" si="434"/>
        <v>catc</v>
      </c>
      <c r="AC1076" t="str">
        <f>("L764")</f>
        <v>L764</v>
      </c>
      <c r="AE1076" t="str">
        <f t="shared" si="439"/>
        <v>c.1</v>
      </c>
      <c r="AF1076" t="str">
        <f t="shared" si="431"/>
        <v>1.可借圖書</v>
      </c>
      <c r="AG1076" t="str">
        <f t="shared" si="432"/>
        <v>在架</v>
      </c>
      <c r="AI1076" t="s">
        <v>65</v>
      </c>
      <c r="AK1076" t="str">
        <f t="shared" si="435"/>
        <v>一般(Normal)</v>
      </c>
      <c r="AO1076" t="s">
        <v>65</v>
      </c>
      <c r="AS1076" t="str">
        <f>("c2000.")</f>
        <v>c2000.</v>
      </c>
      <c r="AT1076" t="str">
        <f t="shared" si="436"/>
        <v>catc</v>
      </c>
    </row>
    <row r="1077" spans="2:46" x14ac:dyDescent="0.25">
      <c r="B1077" t="str">
        <f>("287752")</f>
        <v>287752</v>
      </c>
      <c r="C1077" t="str">
        <f>("W00003147")</f>
        <v>W00003147</v>
      </c>
      <c r="D1077" t="str">
        <f>("A primer on organizational behavior /")</f>
        <v>A primer on organizational behavior /</v>
      </c>
      <c r="E1077" t="str">
        <f>("Bowditch, James L.")</f>
        <v>Bowditch, James L.</v>
      </c>
      <c r="F1077" t="str">
        <f>("John Wiley &amp; Sons,")</f>
        <v>John Wiley &amp; Sons,</v>
      </c>
      <c r="G1077" t="str">
        <f>("5th ed.")</f>
        <v>5th ed.</v>
      </c>
      <c r="H1077" t="str">
        <f t="shared" si="429"/>
        <v>圖書 book</v>
      </c>
      <c r="I1077" t="str">
        <f>("HD58.7 B785 2001")</f>
        <v>HD58.7 B785 2001</v>
      </c>
      <c r="J1077" t="str">
        <f>("0471384534")</f>
        <v>0471384534</v>
      </c>
      <c r="K1077" t="str">
        <f t="shared" si="433"/>
        <v>0</v>
      </c>
      <c r="L1077" t="str">
        <f t="shared" si="440"/>
        <v>2001/10/10 00:00:00</v>
      </c>
      <c r="M1077" t="str">
        <f t="shared" si="441"/>
        <v>2018/08/11 13:31:52</v>
      </c>
      <c r="N1077" t="str">
        <f>("2001")</f>
        <v>2001</v>
      </c>
      <c r="O1077" t="str">
        <f t="shared" si="430"/>
        <v>4F西文書庫 4F Western Language Books</v>
      </c>
      <c r="P1077" t="s">
        <v>64</v>
      </c>
      <c r="W1077" t="str">
        <f t="shared" ref="W1077:W1140" si="443">("美國國會圖書分類法")</f>
        <v>美國國會圖書分類法</v>
      </c>
      <c r="Y1077" t="str">
        <f>("HD58.7")</f>
        <v>HD58.7</v>
      </c>
      <c r="Z1077" t="str">
        <f t="shared" si="442"/>
        <v>2018/08/11 13:31:52</v>
      </c>
      <c r="AA1077" t="str">
        <f t="shared" si="434"/>
        <v>catc</v>
      </c>
      <c r="AC1077" t="str">
        <f>("B785")</f>
        <v>B785</v>
      </c>
      <c r="AE1077" t="str">
        <f t="shared" si="439"/>
        <v>c.1</v>
      </c>
      <c r="AF1077" t="str">
        <f t="shared" si="431"/>
        <v>1.可借圖書</v>
      </c>
      <c r="AG1077" t="str">
        <f t="shared" si="432"/>
        <v>在架</v>
      </c>
      <c r="AI1077" t="s">
        <v>65</v>
      </c>
      <c r="AK1077" t="str">
        <f t="shared" si="435"/>
        <v>一般(Normal)</v>
      </c>
      <c r="AO1077" t="s">
        <v>65</v>
      </c>
      <c r="AS1077" t="str">
        <f>("c2001.")</f>
        <v>c2001.</v>
      </c>
      <c r="AT1077" t="str">
        <f t="shared" si="436"/>
        <v>catc</v>
      </c>
    </row>
    <row r="1078" spans="2:46" x14ac:dyDescent="0.25">
      <c r="B1078" t="str">
        <f>("287828")</f>
        <v>287828</v>
      </c>
      <c r="C1078" t="str">
        <f>("W00003148")</f>
        <v>W00003148</v>
      </c>
      <c r="D1078" t="str">
        <f>("The appraisal check list :how to help your team get the results you both want /")</f>
        <v>The appraisal check list :how to help your team get the results you both want /</v>
      </c>
      <c r="E1078" t="str">
        <f>("Watling, Brian.")</f>
        <v>Watling, Brian.</v>
      </c>
      <c r="F1078" t="str">
        <f>("Prentice Hall,")</f>
        <v>Prentice Hall,</v>
      </c>
      <c r="H1078" t="str">
        <f t="shared" si="429"/>
        <v>圖書 book</v>
      </c>
      <c r="I1078" t="str">
        <f>("HD30.285 W336 2000")</f>
        <v>HD30.285 W336 2000</v>
      </c>
      <c r="J1078" t="str">
        <f>("0273644831")</f>
        <v>0273644831</v>
      </c>
      <c r="K1078" t="str">
        <f t="shared" si="433"/>
        <v>0</v>
      </c>
      <c r="L1078" t="str">
        <f t="shared" si="440"/>
        <v>2001/10/10 00:00:00</v>
      </c>
      <c r="M1078" t="str">
        <f>("2018/08/11 13:31:57")</f>
        <v>2018/08/11 13:31:57</v>
      </c>
      <c r="N1078" t="str">
        <f t="shared" ref="N1078:N1083" si="444">("2000")</f>
        <v>2000</v>
      </c>
      <c r="O1078" t="str">
        <f t="shared" si="430"/>
        <v>4F西文書庫 4F Western Language Books</v>
      </c>
      <c r="P1078" t="s">
        <v>64</v>
      </c>
      <c r="W1078" t="str">
        <f t="shared" si="443"/>
        <v>美國國會圖書分類法</v>
      </c>
      <c r="Y1078" t="str">
        <f>("HD30.285")</f>
        <v>HD30.285</v>
      </c>
      <c r="Z1078" t="str">
        <f>("2018/08/11 13:31:57")</f>
        <v>2018/08/11 13:31:57</v>
      </c>
      <c r="AA1078" t="str">
        <f t="shared" si="434"/>
        <v>catc</v>
      </c>
      <c r="AC1078" t="str">
        <f>("W336")</f>
        <v>W336</v>
      </c>
      <c r="AE1078" t="str">
        <f t="shared" si="439"/>
        <v>c.1</v>
      </c>
      <c r="AF1078" t="str">
        <f t="shared" si="431"/>
        <v>1.可借圖書</v>
      </c>
      <c r="AG1078" t="str">
        <f t="shared" si="432"/>
        <v>在架</v>
      </c>
      <c r="AI1078" t="s">
        <v>65</v>
      </c>
      <c r="AK1078" t="str">
        <f t="shared" si="435"/>
        <v>一般(Normal)</v>
      </c>
      <c r="AO1078" t="s">
        <v>65</v>
      </c>
      <c r="AS1078" t="str">
        <f>("2000.")</f>
        <v>2000.</v>
      </c>
      <c r="AT1078" t="str">
        <f t="shared" si="436"/>
        <v>catc</v>
      </c>
    </row>
    <row r="1079" spans="2:46" x14ac:dyDescent="0.25">
      <c r="B1079" t="str">
        <f>("287778")</f>
        <v>287778</v>
      </c>
      <c r="C1079" t="str">
        <f>("W00003149")</f>
        <v>W00003149</v>
      </c>
      <c r="D1079" t="str">
        <f>("Banking alliances /")</f>
        <v>Banking alliances /</v>
      </c>
      <c r="E1079" t="str">
        <f>("Johnson, Hazel J.")</f>
        <v>Johnson, Hazel J.</v>
      </c>
      <c r="F1079" t="str">
        <f>("World Scientific,")</f>
        <v>World Scientific,</v>
      </c>
      <c r="H1079" t="str">
        <f t="shared" si="429"/>
        <v>圖書 book</v>
      </c>
      <c r="I1079" t="str">
        <f>("HG2491 J67 2000")</f>
        <v>HG2491 J67 2000</v>
      </c>
      <c r="J1079" t="str">
        <f>("9810242727")</f>
        <v>9810242727</v>
      </c>
      <c r="K1079" t="str">
        <f t="shared" si="433"/>
        <v>0</v>
      </c>
      <c r="L1079" t="str">
        <f t="shared" si="440"/>
        <v>2001/10/10 00:00:00</v>
      </c>
      <c r="M1079" t="str">
        <f>("2018/08/11 13:31:52")</f>
        <v>2018/08/11 13:31:52</v>
      </c>
      <c r="N1079" t="str">
        <f t="shared" si="444"/>
        <v>2000</v>
      </c>
      <c r="O1079" t="str">
        <f t="shared" si="430"/>
        <v>4F西文書庫 4F Western Language Books</v>
      </c>
      <c r="P1079" t="s">
        <v>64</v>
      </c>
      <c r="W1079" t="str">
        <f t="shared" si="443"/>
        <v>美國國會圖書分類法</v>
      </c>
      <c r="Y1079" t="str">
        <f>("HG2491")</f>
        <v>HG2491</v>
      </c>
      <c r="Z1079" t="str">
        <f>("2018/08/11 13:31:52")</f>
        <v>2018/08/11 13:31:52</v>
      </c>
      <c r="AA1079" t="str">
        <f t="shared" si="434"/>
        <v>catc</v>
      </c>
      <c r="AC1079" t="str">
        <f>("J67")</f>
        <v>J67</v>
      </c>
      <c r="AE1079" t="str">
        <f t="shared" si="439"/>
        <v>c.1</v>
      </c>
      <c r="AF1079" t="str">
        <f t="shared" si="431"/>
        <v>1.可借圖書</v>
      </c>
      <c r="AG1079" t="str">
        <f t="shared" si="432"/>
        <v>在架</v>
      </c>
      <c r="AI1079" t="s">
        <v>65</v>
      </c>
      <c r="AK1079" t="str">
        <f t="shared" si="435"/>
        <v>一般(Normal)</v>
      </c>
      <c r="AO1079" t="s">
        <v>65</v>
      </c>
      <c r="AS1079" t="str">
        <f>("c2000.")</f>
        <v>c2000.</v>
      </c>
      <c r="AT1079" t="str">
        <f t="shared" si="436"/>
        <v>catc</v>
      </c>
    </row>
    <row r="1080" spans="2:46" x14ac:dyDescent="0.25">
      <c r="B1080" t="str">
        <f>("287827")</f>
        <v>287827</v>
      </c>
      <c r="C1080" t="str">
        <f>("W00003150")</f>
        <v>W00003150</v>
      </c>
      <c r="D1080" t="str">
        <f>("Build a great team! /")</f>
        <v>Build a great team! /</v>
      </c>
      <c r="E1080" t="str">
        <f>("Jay, Ros.")</f>
        <v>Jay, Ros.</v>
      </c>
      <c r="F1080" t="str">
        <f>("Prentice Hall,")</f>
        <v>Prentice Hall,</v>
      </c>
      <c r="H1080" t="str">
        <f t="shared" si="429"/>
        <v>圖書 book</v>
      </c>
      <c r="I1080" t="str">
        <f>("HD66 J42 2000")</f>
        <v>HD66 J42 2000</v>
      </c>
      <c r="J1080" t="str">
        <f>("0273644823")</f>
        <v>0273644823</v>
      </c>
      <c r="K1080" t="str">
        <f t="shared" si="433"/>
        <v>0</v>
      </c>
      <c r="L1080" t="str">
        <f t="shared" si="440"/>
        <v>2001/10/10 00:00:00</v>
      </c>
      <c r="M1080" t="str">
        <f>("2018/08/11 13:31:57")</f>
        <v>2018/08/11 13:31:57</v>
      </c>
      <c r="N1080" t="str">
        <f t="shared" si="444"/>
        <v>2000</v>
      </c>
      <c r="O1080" t="str">
        <f t="shared" si="430"/>
        <v>4F西文書庫 4F Western Language Books</v>
      </c>
      <c r="P1080" t="s">
        <v>64</v>
      </c>
      <c r="W1080" t="str">
        <f t="shared" si="443"/>
        <v>美國國會圖書分類法</v>
      </c>
      <c r="Y1080" t="str">
        <f>("HD66")</f>
        <v>HD66</v>
      </c>
      <c r="Z1080" t="str">
        <f>("2018/08/11 13:31:57")</f>
        <v>2018/08/11 13:31:57</v>
      </c>
      <c r="AA1080" t="str">
        <f t="shared" si="434"/>
        <v>catc</v>
      </c>
      <c r="AC1080" t="str">
        <f>("J42")</f>
        <v>J42</v>
      </c>
      <c r="AE1080" t="str">
        <f t="shared" si="439"/>
        <v>c.1</v>
      </c>
      <c r="AF1080" t="str">
        <f t="shared" si="431"/>
        <v>1.可借圖書</v>
      </c>
      <c r="AG1080" t="str">
        <f t="shared" si="432"/>
        <v>在架</v>
      </c>
      <c r="AI1080" t="s">
        <v>65</v>
      </c>
      <c r="AK1080" t="str">
        <f t="shared" si="435"/>
        <v>一般(Normal)</v>
      </c>
      <c r="AO1080" t="s">
        <v>65</v>
      </c>
      <c r="AS1080" t="str">
        <f>("c2000.")</f>
        <v>c2000.</v>
      </c>
      <c r="AT1080" t="str">
        <f t="shared" si="436"/>
        <v>catc</v>
      </c>
    </row>
    <row r="1081" spans="2:46" x14ac:dyDescent="0.25">
      <c r="B1081" t="str">
        <f>("287777")</f>
        <v>287777</v>
      </c>
      <c r="C1081" t="str">
        <f>("W00003151")</f>
        <v>W00003151</v>
      </c>
      <c r="D1081" t="str">
        <f>("Customer care :how to create an effective customer focus /")</f>
        <v>Customer care :how to create an effective customer focus /</v>
      </c>
      <c r="E1081" t="str">
        <f>("Cook, Sarah,1955-")</f>
        <v>Cook, Sarah,1955-</v>
      </c>
      <c r="F1081" t="str">
        <f>("Kogan Page,")</f>
        <v>Kogan Page,</v>
      </c>
      <c r="G1081" t="str">
        <f>("3rd ed.")</f>
        <v>3rd ed.</v>
      </c>
      <c r="H1081" t="str">
        <f t="shared" si="429"/>
        <v>圖書 book</v>
      </c>
      <c r="I1081" t="str">
        <f>("HF5415.5 C771 2000")</f>
        <v>HF5415.5 C771 2000</v>
      </c>
      <c r="J1081" t="str">
        <f>("0749432365")</f>
        <v>0749432365</v>
      </c>
      <c r="K1081" t="str">
        <f t="shared" si="433"/>
        <v>0</v>
      </c>
      <c r="L1081" t="str">
        <f t="shared" si="440"/>
        <v>2001/10/10 00:00:00</v>
      </c>
      <c r="M1081" t="str">
        <f>("2018/08/11 13:31:52")</f>
        <v>2018/08/11 13:31:52</v>
      </c>
      <c r="N1081" t="str">
        <f t="shared" si="444"/>
        <v>2000</v>
      </c>
      <c r="O1081" t="str">
        <f t="shared" si="430"/>
        <v>4F西文書庫 4F Western Language Books</v>
      </c>
      <c r="P1081" t="s">
        <v>64</v>
      </c>
      <c r="W1081" t="str">
        <f t="shared" si="443"/>
        <v>美國國會圖書分類法</v>
      </c>
      <c r="Y1081" t="str">
        <f>("HF5415.5")</f>
        <v>HF5415.5</v>
      </c>
      <c r="Z1081" t="str">
        <f>("2018/08/11 13:31:52")</f>
        <v>2018/08/11 13:31:52</v>
      </c>
      <c r="AA1081" t="str">
        <f t="shared" si="434"/>
        <v>catc</v>
      </c>
      <c r="AC1081" t="str">
        <f>("C771")</f>
        <v>C771</v>
      </c>
      <c r="AE1081" t="str">
        <f t="shared" si="439"/>
        <v>c.1</v>
      </c>
      <c r="AF1081" t="str">
        <f t="shared" si="431"/>
        <v>1.可借圖書</v>
      </c>
      <c r="AG1081" t="str">
        <f t="shared" si="432"/>
        <v>在架</v>
      </c>
      <c r="AI1081" t="s">
        <v>65</v>
      </c>
      <c r="AK1081" t="str">
        <f t="shared" si="435"/>
        <v>一般(Normal)</v>
      </c>
      <c r="AO1081" t="s">
        <v>65</v>
      </c>
      <c r="AS1081" t="str">
        <f>("2000.")</f>
        <v>2000.</v>
      </c>
      <c r="AT1081" t="str">
        <f t="shared" si="436"/>
        <v>catc</v>
      </c>
    </row>
    <row r="1082" spans="2:46" x14ac:dyDescent="0.25">
      <c r="B1082" t="str">
        <f>("287776")</f>
        <v>287776</v>
      </c>
      <c r="C1082" t="str">
        <f>("W00003152")</f>
        <v>W00003152</v>
      </c>
      <c r="D1082" t="str">
        <f>("The definitive guide to marketing planning :the fast track to intelligent marketing planning and implementation for executives /")</f>
        <v>The definitive guide to marketing planning :the fast track to intelligent marketing planning and implementation for executives /</v>
      </c>
      <c r="E1082" t="str">
        <f>("Hatton, Angela.")</f>
        <v>Hatton, Angela.</v>
      </c>
      <c r="F1082" t="str">
        <f>("Financial Times Prentice-Hall,")</f>
        <v>Financial Times Prentice-Hall,</v>
      </c>
      <c r="H1082" t="str">
        <f t="shared" si="429"/>
        <v>圖書 book</v>
      </c>
      <c r="I1082" t="str">
        <f>("HF5415.122 H366 2000")</f>
        <v>HF5415.122 H366 2000</v>
      </c>
      <c r="J1082" t="str">
        <f>("0273649329")</f>
        <v>0273649329</v>
      </c>
      <c r="K1082" t="str">
        <f t="shared" si="433"/>
        <v>0</v>
      </c>
      <c r="L1082" t="str">
        <f t="shared" si="440"/>
        <v>2001/10/10 00:00:00</v>
      </c>
      <c r="M1082" t="str">
        <f>("2018/08/11 13:31:52")</f>
        <v>2018/08/11 13:31:52</v>
      </c>
      <c r="N1082" t="str">
        <f t="shared" si="444"/>
        <v>2000</v>
      </c>
      <c r="O1082" t="str">
        <f t="shared" si="430"/>
        <v>4F西文書庫 4F Western Language Books</v>
      </c>
      <c r="P1082" t="s">
        <v>64</v>
      </c>
      <c r="W1082" t="str">
        <f t="shared" si="443"/>
        <v>美國國會圖書分類法</v>
      </c>
      <c r="Y1082" t="str">
        <f>("HF5415.122")</f>
        <v>HF5415.122</v>
      </c>
      <c r="Z1082" t="str">
        <f>("2018/08/11 13:31:52")</f>
        <v>2018/08/11 13:31:52</v>
      </c>
      <c r="AA1082" t="str">
        <f t="shared" si="434"/>
        <v>catc</v>
      </c>
      <c r="AC1082" t="str">
        <f>("H366")</f>
        <v>H366</v>
      </c>
      <c r="AE1082" t="str">
        <f t="shared" si="439"/>
        <v>c.1</v>
      </c>
      <c r="AF1082" t="str">
        <f t="shared" si="431"/>
        <v>1.可借圖書</v>
      </c>
      <c r="AG1082" t="str">
        <f t="shared" si="432"/>
        <v>在架</v>
      </c>
      <c r="AI1082" t="s">
        <v>65</v>
      </c>
      <c r="AK1082" t="str">
        <f t="shared" si="435"/>
        <v>一般(Normal)</v>
      </c>
      <c r="AO1082" t="s">
        <v>65</v>
      </c>
      <c r="AS1082" t="str">
        <f>("2000.")</f>
        <v>2000.</v>
      </c>
      <c r="AT1082" t="str">
        <f t="shared" si="436"/>
        <v>catc</v>
      </c>
    </row>
    <row r="1083" spans="2:46" x14ac:dyDescent="0.25">
      <c r="B1083" t="str">
        <f>("287775")</f>
        <v>287775</v>
      </c>
      <c r="C1083" t="str">
        <f>("W00003153")</f>
        <v>W00003153</v>
      </c>
      <c r="D1083" t="str">
        <f>("Electronic resumes &amp; online networking :how to use the Internet to do a better job search, including a complete, up-to-date resource guide /")</f>
        <v>Electronic resumes &amp; online networking :how to use the Internet to do a better job search, including a complete, up-to-date resource guide /</v>
      </c>
      <c r="E1083" t="str">
        <f>("Smith, Rebecca,1960-")</f>
        <v>Smith, Rebecca,1960-</v>
      </c>
      <c r="F1083" t="str">
        <f>("Career Press,")</f>
        <v>Career Press,</v>
      </c>
      <c r="G1083" t="str">
        <f>("2nd ed.")</f>
        <v>2nd ed.</v>
      </c>
      <c r="H1083" t="str">
        <f t="shared" si="429"/>
        <v>圖書 book</v>
      </c>
      <c r="I1083" t="str">
        <f>("HF5383 S657 2000")</f>
        <v>HF5383 S657 2000</v>
      </c>
      <c r="J1083" t="str">
        <f>("1564145115")</f>
        <v>1564145115</v>
      </c>
      <c r="K1083" t="str">
        <f t="shared" si="433"/>
        <v>0</v>
      </c>
      <c r="L1083" t="str">
        <f t="shared" si="440"/>
        <v>2001/10/10 00:00:00</v>
      </c>
      <c r="M1083" t="str">
        <f>("2018/08/11 13:31:52")</f>
        <v>2018/08/11 13:31:52</v>
      </c>
      <c r="N1083" t="str">
        <f t="shared" si="444"/>
        <v>2000</v>
      </c>
      <c r="O1083" t="str">
        <f t="shared" si="430"/>
        <v>4F西文書庫 4F Western Language Books</v>
      </c>
      <c r="P1083" t="s">
        <v>64</v>
      </c>
      <c r="W1083" t="str">
        <f t="shared" si="443"/>
        <v>美國國會圖書分類法</v>
      </c>
      <c r="Y1083" t="str">
        <f>("HF5383")</f>
        <v>HF5383</v>
      </c>
      <c r="Z1083" t="str">
        <f>("2018/08/11 13:31:52")</f>
        <v>2018/08/11 13:31:52</v>
      </c>
      <c r="AA1083" t="str">
        <f t="shared" si="434"/>
        <v>catc</v>
      </c>
      <c r="AC1083" t="str">
        <f>("S657")</f>
        <v>S657</v>
      </c>
      <c r="AE1083" t="str">
        <f t="shared" si="439"/>
        <v>c.1</v>
      </c>
      <c r="AF1083" t="str">
        <f t="shared" si="431"/>
        <v>1.可借圖書</v>
      </c>
      <c r="AG1083" t="str">
        <f t="shared" si="432"/>
        <v>在架</v>
      </c>
      <c r="AI1083" t="s">
        <v>65</v>
      </c>
      <c r="AK1083" t="str">
        <f t="shared" si="435"/>
        <v>一般(Normal)</v>
      </c>
      <c r="AO1083" t="s">
        <v>65</v>
      </c>
      <c r="AS1083" t="str">
        <f>("c2000.")</f>
        <v>c2000.</v>
      </c>
      <c r="AT1083" t="str">
        <f t="shared" si="436"/>
        <v>catc</v>
      </c>
    </row>
    <row r="1084" spans="2:46" x14ac:dyDescent="0.25">
      <c r="B1084" t="str">
        <f>("287774")</f>
        <v>287774</v>
      </c>
      <c r="C1084" t="str">
        <f>("W00003154")</f>
        <v>W00003154</v>
      </c>
      <c r="D1084" t="str">
        <f>("Electronic trading masters :secrets from the pros /")</f>
        <v>Electronic trading masters :secrets from the pros /</v>
      </c>
      <c r="E1084" t="str">
        <f>("Baird, Allen Jan.")</f>
        <v>Baird, Allen Jan.</v>
      </c>
      <c r="F1084" t="str">
        <f>("Wiley,")</f>
        <v>Wiley,</v>
      </c>
      <c r="H1084" t="str">
        <f t="shared" si="429"/>
        <v>圖書 book</v>
      </c>
      <c r="I1084" t="str">
        <f>("HG4515.95 B163 2001")</f>
        <v>HG4515.95 B163 2001</v>
      </c>
      <c r="J1084" t="str">
        <f>("0471401935")</f>
        <v>0471401935</v>
      </c>
      <c r="K1084" t="str">
        <f t="shared" si="433"/>
        <v>0</v>
      </c>
      <c r="L1084" t="str">
        <f t="shared" si="440"/>
        <v>2001/10/10 00:00:00</v>
      </c>
      <c r="M1084" t="str">
        <f>("2018/08/11 13:31:52")</f>
        <v>2018/08/11 13:31:52</v>
      </c>
      <c r="N1084" t="str">
        <f>("2001")</f>
        <v>2001</v>
      </c>
      <c r="O1084" t="str">
        <f t="shared" si="430"/>
        <v>4F西文書庫 4F Western Language Books</v>
      </c>
      <c r="P1084" t="s">
        <v>64</v>
      </c>
      <c r="W1084" t="str">
        <f t="shared" si="443"/>
        <v>美國國會圖書分類法</v>
      </c>
      <c r="Y1084" t="str">
        <f>("HG4515.95")</f>
        <v>HG4515.95</v>
      </c>
      <c r="Z1084" t="str">
        <f>("2018/08/11 13:31:52")</f>
        <v>2018/08/11 13:31:52</v>
      </c>
      <c r="AA1084" t="str">
        <f t="shared" si="434"/>
        <v>catc</v>
      </c>
      <c r="AC1084" t="str">
        <f>("B163")</f>
        <v>B163</v>
      </c>
      <c r="AE1084" t="str">
        <f t="shared" si="439"/>
        <v>c.1</v>
      </c>
      <c r="AF1084" t="str">
        <f t="shared" si="431"/>
        <v>1.可借圖書</v>
      </c>
      <c r="AG1084" t="str">
        <f t="shared" si="432"/>
        <v>在架</v>
      </c>
      <c r="AI1084" t="s">
        <v>65</v>
      </c>
      <c r="AK1084" t="str">
        <f t="shared" si="435"/>
        <v>一般(Normal)</v>
      </c>
      <c r="AO1084" t="s">
        <v>65</v>
      </c>
      <c r="AS1084" t="str">
        <f>("2001.")</f>
        <v>2001.</v>
      </c>
      <c r="AT1084" t="str">
        <f t="shared" si="436"/>
        <v>catc</v>
      </c>
    </row>
    <row r="1085" spans="2:46" x14ac:dyDescent="0.25">
      <c r="B1085" t="str">
        <f>("287772")</f>
        <v>287772</v>
      </c>
      <c r="C1085" t="str">
        <f>("W00003155")</f>
        <v>W00003155</v>
      </c>
      <c r="D1085" t="str">
        <f>("Entertainment industry economics :a guide for financial analysis /")</f>
        <v>Entertainment industry economics :a guide for financial analysis /</v>
      </c>
      <c r="E1085" t="str">
        <f>("Vogel, Harold L.1946-")</f>
        <v>Vogel, Harold L.1946-</v>
      </c>
      <c r="F1085" t="str">
        <f>("Cambridge University Press,")</f>
        <v>Cambridge University Press,</v>
      </c>
      <c r="G1085" t="str">
        <f>("4th ed.")</f>
        <v>4th ed.</v>
      </c>
      <c r="H1085" t="str">
        <f t="shared" si="429"/>
        <v>圖書 book</v>
      </c>
      <c r="I1085" t="str">
        <f>("PN1590.F55 V878 1998")</f>
        <v>PN1590.F55 V878 1998</v>
      </c>
      <c r="J1085" t="str">
        <f>("0521594383")</f>
        <v>0521594383</v>
      </c>
      <c r="K1085" t="str">
        <f t="shared" si="433"/>
        <v>0</v>
      </c>
      <c r="L1085" t="str">
        <f t="shared" si="440"/>
        <v>2001/10/10 00:00:00</v>
      </c>
      <c r="M1085" t="str">
        <f>("2018/08/11 13:31:51")</f>
        <v>2018/08/11 13:31:51</v>
      </c>
      <c r="N1085" t="str">
        <f>("1998")</f>
        <v>1998</v>
      </c>
      <c r="O1085" t="str">
        <f t="shared" si="430"/>
        <v>4F西文書庫 4F Western Language Books</v>
      </c>
      <c r="P1085" t="s">
        <v>64</v>
      </c>
      <c r="W1085" t="str">
        <f t="shared" si="443"/>
        <v>美國國會圖書分類法</v>
      </c>
      <c r="Y1085" t="str">
        <f>("PN1590.F55")</f>
        <v>PN1590.F55</v>
      </c>
      <c r="Z1085" t="str">
        <f>("2018/08/11 13:31:51")</f>
        <v>2018/08/11 13:31:51</v>
      </c>
      <c r="AA1085" t="str">
        <f t="shared" si="434"/>
        <v>catc</v>
      </c>
      <c r="AC1085" t="str">
        <f>("V878")</f>
        <v>V878</v>
      </c>
      <c r="AE1085" t="str">
        <f t="shared" si="439"/>
        <v>c.1</v>
      </c>
      <c r="AF1085" t="str">
        <f t="shared" si="431"/>
        <v>1.可借圖書</v>
      </c>
      <c r="AG1085" t="str">
        <f t="shared" si="432"/>
        <v>在架</v>
      </c>
      <c r="AI1085" t="s">
        <v>65</v>
      </c>
      <c r="AK1085" t="str">
        <f t="shared" si="435"/>
        <v>一般(Normal)</v>
      </c>
      <c r="AO1085" t="s">
        <v>65</v>
      </c>
      <c r="AS1085" t="str">
        <f>("1998.")</f>
        <v>1998.</v>
      </c>
      <c r="AT1085" t="str">
        <f t="shared" si="436"/>
        <v>catc</v>
      </c>
    </row>
    <row r="1086" spans="2:46" x14ac:dyDescent="0.25">
      <c r="B1086" t="str">
        <f>("287830")</f>
        <v>287830</v>
      </c>
      <c r="C1086" t="str">
        <f>("W00003156")</f>
        <v>W00003156</v>
      </c>
      <c r="D1086" t="str">
        <f>("Financial management for the small business /")</f>
        <v>Financial management for the small business /</v>
      </c>
      <c r="E1086" t="str">
        <f>("Barrow, Colin.")</f>
        <v>Barrow, Colin.</v>
      </c>
      <c r="F1086" t="str">
        <f>("Kogan Page,")</f>
        <v>Kogan Page,</v>
      </c>
      <c r="G1086" t="str">
        <f>("5th ed.")</f>
        <v>5th ed.</v>
      </c>
      <c r="H1086" t="str">
        <f t="shared" si="429"/>
        <v>圖書 book</v>
      </c>
      <c r="I1086" t="str">
        <f>("HG4027.7 B278 2001")</f>
        <v>HG4027.7 B278 2001</v>
      </c>
      <c r="J1086" t="str">
        <f>("0749435003")</f>
        <v>0749435003</v>
      </c>
      <c r="K1086" t="str">
        <f t="shared" si="433"/>
        <v>0</v>
      </c>
      <c r="L1086" t="str">
        <f t="shared" si="440"/>
        <v>2001/10/10 00:00:00</v>
      </c>
      <c r="M1086" t="str">
        <f>("2018/08/11 13:31:57")</f>
        <v>2018/08/11 13:31:57</v>
      </c>
      <c r="N1086" t="str">
        <f>("2001")</f>
        <v>2001</v>
      </c>
      <c r="O1086" t="str">
        <f t="shared" si="430"/>
        <v>4F西文書庫 4F Western Language Books</v>
      </c>
      <c r="P1086" t="s">
        <v>64</v>
      </c>
      <c r="W1086" t="str">
        <f t="shared" si="443"/>
        <v>美國國會圖書分類法</v>
      </c>
      <c r="Y1086" t="str">
        <f>("HG4027.7")</f>
        <v>HG4027.7</v>
      </c>
      <c r="Z1086" t="str">
        <f>("2018/08/11 13:31:57")</f>
        <v>2018/08/11 13:31:57</v>
      </c>
      <c r="AA1086" t="str">
        <f t="shared" si="434"/>
        <v>catc</v>
      </c>
      <c r="AC1086" t="str">
        <f>("B278")</f>
        <v>B278</v>
      </c>
      <c r="AE1086" t="str">
        <f t="shared" si="439"/>
        <v>c.1</v>
      </c>
      <c r="AF1086" t="str">
        <f t="shared" si="431"/>
        <v>1.可借圖書</v>
      </c>
      <c r="AG1086" t="str">
        <f t="shared" si="432"/>
        <v>在架</v>
      </c>
      <c r="AI1086" t="s">
        <v>65</v>
      </c>
      <c r="AK1086" t="str">
        <f t="shared" si="435"/>
        <v>一般(Normal)</v>
      </c>
      <c r="AO1086" t="s">
        <v>65</v>
      </c>
      <c r="AS1086" t="str">
        <f>("2001.")</f>
        <v>2001.</v>
      </c>
      <c r="AT1086" t="str">
        <f t="shared" si="436"/>
        <v>catc</v>
      </c>
    </row>
    <row r="1087" spans="2:46" x14ac:dyDescent="0.25">
      <c r="B1087" t="str">
        <f>("287829")</f>
        <v>287829</v>
      </c>
      <c r="C1087" t="str">
        <f>("W00003157")</f>
        <v>W00003157</v>
      </c>
      <c r="D1087" t="str">
        <f>("The graduate career handbook :making the right start for a bright future /")</f>
        <v>The graduate career handbook :making the right start for a bright future /</v>
      </c>
      <c r="E1087" t="str">
        <f>("Jenner, Shirley.")</f>
        <v>Jenner, Shirley.</v>
      </c>
      <c r="F1087" t="str">
        <f>("Financial Times Prentice Hall,")</f>
        <v>Financial Times Prentice Hall,</v>
      </c>
      <c r="H1087" t="str">
        <f t="shared" si="429"/>
        <v>圖書 book</v>
      </c>
      <c r="I1087" t="str">
        <f>("HD6278.G7 J54 2000")</f>
        <v>HD6278.G7 J54 2000</v>
      </c>
      <c r="J1087" t="str">
        <f>("0273644289")</f>
        <v>0273644289</v>
      </c>
      <c r="K1087" t="str">
        <f t="shared" si="433"/>
        <v>0</v>
      </c>
      <c r="L1087" t="str">
        <f t="shared" si="440"/>
        <v>2001/10/10 00:00:00</v>
      </c>
      <c r="M1087" t="str">
        <f>("2018/08/11 13:31:57")</f>
        <v>2018/08/11 13:31:57</v>
      </c>
      <c r="N1087" t="str">
        <f>("2000")</f>
        <v>2000</v>
      </c>
      <c r="O1087" t="str">
        <f t="shared" si="430"/>
        <v>4F西文書庫 4F Western Language Books</v>
      </c>
      <c r="P1087" t="s">
        <v>64</v>
      </c>
      <c r="W1087" t="str">
        <f t="shared" si="443"/>
        <v>美國國會圖書分類法</v>
      </c>
      <c r="Y1087" t="str">
        <f>("HD6278.G7")</f>
        <v>HD6278.G7</v>
      </c>
      <c r="Z1087" t="str">
        <f>("2018/08/11 13:31:57")</f>
        <v>2018/08/11 13:31:57</v>
      </c>
      <c r="AA1087" t="str">
        <f t="shared" si="434"/>
        <v>catc</v>
      </c>
      <c r="AC1087" t="str">
        <f>("J54")</f>
        <v>J54</v>
      </c>
      <c r="AE1087" t="str">
        <f t="shared" si="439"/>
        <v>c.1</v>
      </c>
      <c r="AF1087" t="str">
        <f t="shared" si="431"/>
        <v>1.可借圖書</v>
      </c>
      <c r="AG1087" t="str">
        <f t="shared" si="432"/>
        <v>在架</v>
      </c>
      <c r="AI1087" t="s">
        <v>65</v>
      </c>
      <c r="AK1087" t="str">
        <f t="shared" si="435"/>
        <v>一般(Normal)</v>
      </c>
      <c r="AO1087" t="s">
        <v>65</v>
      </c>
      <c r="AS1087" t="str">
        <f>("2000.")</f>
        <v>2000.</v>
      </c>
      <c r="AT1087" t="str">
        <f t="shared" si="436"/>
        <v>catc</v>
      </c>
    </row>
    <row r="1088" spans="2:46" x14ac:dyDescent="0.25">
      <c r="B1088" t="str">
        <f>("290495")</f>
        <v>290495</v>
      </c>
      <c r="C1088" t="str">
        <f>("W00003158")</f>
        <v>W00003158</v>
      </c>
      <c r="D1088" t="str">
        <f>("Harvard business review on managing uncertainty.")</f>
        <v>Harvard business review on managing uncertainty.</v>
      </c>
      <c r="E1088" t="str">
        <f>("")</f>
        <v/>
      </c>
      <c r="F1088" t="str">
        <f>("Harvard Business School Press,")</f>
        <v>Harvard Business School Press,</v>
      </c>
      <c r="H1088" t="str">
        <f t="shared" si="429"/>
        <v>圖書 book</v>
      </c>
      <c r="I1088" t="str">
        <f>("HD30.28 H339 1999")</f>
        <v>HD30.28 H339 1999</v>
      </c>
      <c r="J1088" t="str">
        <f>("0875849083")</f>
        <v>0875849083</v>
      </c>
      <c r="K1088" t="str">
        <f t="shared" si="433"/>
        <v>0</v>
      </c>
      <c r="L1088" t="str">
        <f>("2001/10/16 00:00:00")</f>
        <v>2001/10/16 00:00:00</v>
      </c>
      <c r="M1088" t="str">
        <f>("2018/08/11 13:36:32")</f>
        <v>2018/08/11 13:36:32</v>
      </c>
      <c r="N1088" t="str">
        <f>("1999")</f>
        <v>1999</v>
      </c>
      <c r="O1088" t="str">
        <f t="shared" si="430"/>
        <v>4F西文書庫 4F Western Language Books</v>
      </c>
      <c r="P1088" t="s">
        <v>64</v>
      </c>
      <c r="W1088" t="str">
        <f t="shared" si="443"/>
        <v>美國國會圖書分類法</v>
      </c>
      <c r="Y1088" t="str">
        <f>("HD30.28")</f>
        <v>HD30.28</v>
      </c>
      <c r="Z1088" t="str">
        <f>("2018/08/11 13:36:32")</f>
        <v>2018/08/11 13:36:32</v>
      </c>
      <c r="AA1088" t="str">
        <f t="shared" si="434"/>
        <v>catc</v>
      </c>
      <c r="AC1088" t="str">
        <f>("H339")</f>
        <v>H339</v>
      </c>
      <c r="AE1088" t="str">
        <f t="shared" si="439"/>
        <v>c.1</v>
      </c>
      <c r="AF1088" t="str">
        <f t="shared" si="431"/>
        <v>1.可借圖書</v>
      </c>
      <c r="AG1088" t="str">
        <f t="shared" si="432"/>
        <v>在架</v>
      </c>
      <c r="AI1088" t="s">
        <v>65</v>
      </c>
      <c r="AK1088" t="str">
        <f t="shared" si="435"/>
        <v>一般(Normal)</v>
      </c>
      <c r="AO1088" t="s">
        <v>65</v>
      </c>
      <c r="AS1088" t="str">
        <f>("c1999.")</f>
        <v>c1999.</v>
      </c>
      <c r="AT1088" t="str">
        <f t="shared" si="436"/>
        <v>catc</v>
      </c>
    </row>
    <row r="1089" spans="2:46" x14ac:dyDescent="0.25">
      <c r="B1089" t="str">
        <f>("290494")</f>
        <v>290494</v>
      </c>
      <c r="C1089" t="str">
        <f>("W00003159")</f>
        <v>W00003159</v>
      </c>
      <c r="D1089" t="str">
        <f>("Harvard business review on decision making.")</f>
        <v>Harvard business review on decision making.</v>
      </c>
      <c r="E1089" t="str">
        <f>("")</f>
        <v/>
      </c>
      <c r="F1089" t="str">
        <f>("Harvard Business School Press,")</f>
        <v>Harvard Business School Press,</v>
      </c>
      <c r="H1089" t="str">
        <f t="shared" si="429"/>
        <v>圖書 book</v>
      </c>
      <c r="I1089" t="str">
        <f>("HD30.23 H339 2001")</f>
        <v>HD30.23 H339 2001</v>
      </c>
      <c r="J1089" t="str">
        <f>("1578515572")</f>
        <v>1578515572</v>
      </c>
      <c r="K1089" t="str">
        <f t="shared" si="433"/>
        <v>0</v>
      </c>
      <c r="L1089" t="str">
        <f>("2001/10/16 00:00:00")</f>
        <v>2001/10/16 00:00:00</v>
      </c>
      <c r="M1089" t="str">
        <f>("2018/08/11 13:36:32")</f>
        <v>2018/08/11 13:36:32</v>
      </c>
      <c r="N1089" t="str">
        <f>("2001")</f>
        <v>2001</v>
      </c>
      <c r="O1089" t="str">
        <f t="shared" si="430"/>
        <v>4F西文書庫 4F Western Language Books</v>
      </c>
      <c r="P1089" t="s">
        <v>64</v>
      </c>
      <c r="W1089" t="str">
        <f t="shared" si="443"/>
        <v>美國國會圖書分類法</v>
      </c>
      <c r="Y1089" t="str">
        <f>("HD30.23")</f>
        <v>HD30.23</v>
      </c>
      <c r="Z1089" t="str">
        <f>("2018/08/11 13:36:32")</f>
        <v>2018/08/11 13:36:32</v>
      </c>
      <c r="AA1089" t="str">
        <f t="shared" si="434"/>
        <v>catc</v>
      </c>
      <c r="AC1089" t="str">
        <f>("H339")</f>
        <v>H339</v>
      </c>
      <c r="AE1089" t="str">
        <f t="shared" si="439"/>
        <v>c.1</v>
      </c>
      <c r="AF1089" t="str">
        <f t="shared" si="431"/>
        <v>1.可借圖書</v>
      </c>
      <c r="AG1089" t="str">
        <f t="shared" si="432"/>
        <v>在架</v>
      </c>
      <c r="AI1089" t="s">
        <v>65</v>
      </c>
      <c r="AK1089" t="str">
        <f t="shared" si="435"/>
        <v>一般(Normal)</v>
      </c>
      <c r="AO1089" t="s">
        <v>65</v>
      </c>
      <c r="AS1089" t="str">
        <f>("2001.")</f>
        <v>2001.</v>
      </c>
      <c r="AT1089" t="str">
        <f t="shared" si="436"/>
        <v>catc</v>
      </c>
    </row>
    <row r="1090" spans="2:46" x14ac:dyDescent="0.25">
      <c r="B1090" t="str">
        <f>("287773")</f>
        <v>287773</v>
      </c>
      <c r="C1090" t="str">
        <f>("W00003160")</f>
        <v>W00003160</v>
      </c>
      <c r="D1090" t="str">
        <f>("How they achieved :stories of personal achievement and business success /")</f>
        <v>How they achieved :stories of personal achievement and business success /</v>
      </c>
      <c r="E1090" t="str">
        <f>("Watson, Lucinda,1949-")</f>
        <v>Watson, Lucinda,1949-</v>
      </c>
      <c r="F1090" t="str">
        <f>("John Wiley,")</f>
        <v>John Wiley,</v>
      </c>
      <c r="H1090" t="str">
        <f t="shared" si="429"/>
        <v>圖書 book</v>
      </c>
      <c r="I1090" t="str">
        <f>("HC102.5.A2 W339 2001")</f>
        <v>HC102.5.A2 W339 2001</v>
      </c>
      <c r="J1090" t="str">
        <f>("0471388203")</f>
        <v>0471388203</v>
      </c>
      <c r="K1090" t="str">
        <f t="shared" si="433"/>
        <v>0</v>
      </c>
      <c r="L1090" t="str">
        <f>("2001/10/10 00:00:00")</f>
        <v>2001/10/10 00:00:00</v>
      </c>
      <c r="M1090" t="str">
        <f>("2018/08/11 13:31:51")</f>
        <v>2018/08/11 13:31:51</v>
      </c>
      <c r="N1090" t="str">
        <f>("2001")</f>
        <v>2001</v>
      </c>
      <c r="O1090" t="str">
        <f t="shared" si="430"/>
        <v>4F西文書庫 4F Western Language Books</v>
      </c>
      <c r="P1090" t="s">
        <v>64</v>
      </c>
      <c r="W1090" t="str">
        <f t="shared" si="443"/>
        <v>美國國會圖書分類法</v>
      </c>
      <c r="Y1090" t="str">
        <f>("HC102.5.A2")</f>
        <v>HC102.5.A2</v>
      </c>
      <c r="Z1090" t="str">
        <f>("2018/08/11 13:31:51")</f>
        <v>2018/08/11 13:31:51</v>
      </c>
      <c r="AA1090" t="str">
        <f t="shared" si="434"/>
        <v>catc</v>
      </c>
      <c r="AC1090" t="str">
        <f>("W339")</f>
        <v>W339</v>
      </c>
      <c r="AE1090" t="str">
        <f t="shared" si="439"/>
        <v>c.1</v>
      </c>
      <c r="AF1090" t="str">
        <f t="shared" si="431"/>
        <v>1.可借圖書</v>
      </c>
      <c r="AG1090" t="str">
        <f t="shared" si="432"/>
        <v>在架</v>
      </c>
      <c r="AI1090" t="s">
        <v>65</v>
      </c>
      <c r="AK1090" t="str">
        <f t="shared" si="435"/>
        <v>一般(Normal)</v>
      </c>
      <c r="AO1090" t="s">
        <v>65</v>
      </c>
      <c r="AS1090" t="str">
        <f>("c2001.")</f>
        <v>c2001.</v>
      </c>
      <c r="AT1090" t="str">
        <f t="shared" si="436"/>
        <v>catc</v>
      </c>
    </row>
    <row r="1091" spans="2:46" x14ac:dyDescent="0.25">
      <c r="B1091" t="str">
        <f>("287771")</f>
        <v>287771</v>
      </c>
      <c r="C1091" t="str">
        <f>("W00003161")</f>
        <v>W00003161</v>
      </c>
      <c r="D1091" t="str">
        <f>("How to act like a CEO :10 rules for getting to the top and staying there ")</f>
        <v xml:space="preserve">How to act like a CEO :10 rules for getting to the top and staying there </v>
      </c>
      <c r="E1091" t="str">
        <f>("Benton D.A.")</f>
        <v>Benton D.A.</v>
      </c>
      <c r="F1091" t="str">
        <f>("McGraw-Hill,")</f>
        <v>McGraw-Hill,</v>
      </c>
      <c r="H1091" t="str">
        <f t="shared" si="429"/>
        <v>圖書 book</v>
      </c>
      <c r="I1091" t="str">
        <f>("HD38.2 B478 2001")</f>
        <v>HD38.2 B478 2001</v>
      </c>
      <c r="J1091" t="str">
        <f>("0071412948;0071359982")</f>
        <v>0071412948;0071359982</v>
      </c>
      <c r="K1091" t="str">
        <f t="shared" si="433"/>
        <v>0</v>
      </c>
      <c r="L1091" t="str">
        <f>("2001/10/10 00:00:00")</f>
        <v>2001/10/10 00:00:00</v>
      </c>
      <c r="M1091" t="str">
        <f>("2018/08/11 13:31:51")</f>
        <v>2018/08/11 13:31:51</v>
      </c>
      <c r="N1091" t="str">
        <f>("2001")</f>
        <v>2001</v>
      </c>
      <c r="O1091" t="str">
        <f t="shared" si="430"/>
        <v>4F西文書庫 4F Western Language Books</v>
      </c>
      <c r="P1091" t="s">
        <v>64</v>
      </c>
      <c r="W1091" t="str">
        <f t="shared" si="443"/>
        <v>美國國會圖書分類法</v>
      </c>
      <c r="Y1091" t="str">
        <f>("HD38.2")</f>
        <v>HD38.2</v>
      </c>
      <c r="Z1091" t="str">
        <f>("2018/08/11 13:31:51")</f>
        <v>2018/08/11 13:31:51</v>
      </c>
      <c r="AA1091" t="str">
        <f t="shared" si="434"/>
        <v>catc</v>
      </c>
      <c r="AC1091" t="str">
        <f>("B478")</f>
        <v>B478</v>
      </c>
      <c r="AE1091" t="str">
        <f t="shared" si="439"/>
        <v>c.1</v>
      </c>
      <c r="AF1091" t="str">
        <f t="shared" si="431"/>
        <v>1.可借圖書</v>
      </c>
      <c r="AG1091" t="str">
        <f t="shared" si="432"/>
        <v>在架</v>
      </c>
      <c r="AI1091" t="s">
        <v>65</v>
      </c>
      <c r="AK1091" t="str">
        <f t="shared" si="435"/>
        <v>一般(Normal)</v>
      </c>
      <c r="AO1091" t="s">
        <v>65</v>
      </c>
      <c r="AS1091" t="str">
        <f>("c2001.")</f>
        <v>c2001.</v>
      </c>
      <c r="AT1091" t="str">
        <f t="shared" si="436"/>
        <v>catc</v>
      </c>
    </row>
    <row r="1092" spans="2:46" x14ac:dyDescent="0.25">
      <c r="B1092" t="str">
        <f>("287770")</f>
        <v>287770</v>
      </c>
      <c r="C1092" t="str">
        <f>("W00003162")</f>
        <v>W00003162</v>
      </c>
      <c r="D1092" t="str">
        <f>("Inside Secrets to venture capital /")</f>
        <v>Inside Secrets to venture capital /</v>
      </c>
      <c r="E1092" t="str">
        <f>("Hill, Brian E.1955-")</f>
        <v>Hill, Brian E.1955-</v>
      </c>
      <c r="F1092" t="str">
        <f>("John Wiley,")</f>
        <v>John Wiley,</v>
      </c>
      <c r="H1092" t="str">
        <f t="shared" ref="H1092:H1105" si="445">("圖書 book")</f>
        <v>圖書 book</v>
      </c>
      <c r="I1092" t="str">
        <f>("HG4751 H645 2001")</f>
        <v>HG4751 H645 2001</v>
      </c>
      <c r="J1092" t="str">
        <f>("0471414069")</f>
        <v>0471414069</v>
      </c>
      <c r="K1092" t="str">
        <f t="shared" si="433"/>
        <v>0</v>
      </c>
      <c r="L1092" t="str">
        <f>("2001/10/10 00:00:00")</f>
        <v>2001/10/10 00:00:00</v>
      </c>
      <c r="M1092" t="str">
        <f>("2018/08/11 13:31:51")</f>
        <v>2018/08/11 13:31:51</v>
      </c>
      <c r="N1092" t="str">
        <f>("2001")</f>
        <v>2001</v>
      </c>
      <c r="O1092" t="str">
        <f t="shared" ref="O1092:O1105" si="446">("4F西文書庫 4F Western Language Books")</f>
        <v>4F西文書庫 4F Western Language Books</v>
      </c>
      <c r="P1092" t="s">
        <v>64</v>
      </c>
      <c r="W1092" t="str">
        <f t="shared" si="443"/>
        <v>美國國會圖書分類法</v>
      </c>
      <c r="Y1092" t="str">
        <f>("HG4751")</f>
        <v>HG4751</v>
      </c>
      <c r="Z1092" t="str">
        <f>("2018/08/11 13:31:51")</f>
        <v>2018/08/11 13:31:51</v>
      </c>
      <c r="AA1092" t="str">
        <f t="shared" si="434"/>
        <v>catc</v>
      </c>
      <c r="AC1092" t="str">
        <f>("H645")</f>
        <v>H645</v>
      </c>
      <c r="AE1092" t="str">
        <f t="shared" si="439"/>
        <v>c.1</v>
      </c>
      <c r="AF1092" t="str">
        <f t="shared" ref="AF1092:AF1105" si="447">("1.可借圖書")</f>
        <v>1.可借圖書</v>
      </c>
      <c r="AG1092" t="str">
        <f t="shared" ref="AG1092:AG1105" si="448">("在架")</f>
        <v>在架</v>
      </c>
      <c r="AI1092" t="s">
        <v>65</v>
      </c>
      <c r="AK1092" t="str">
        <f t="shared" si="435"/>
        <v>一般(Normal)</v>
      </c>
      <c r="AO1092" t="s">
        <v>65</v>
      </c>
      <c r="AS1092" t="str">
        <f>("2001.")</f>
        <v>2001.</v>
      </c>
      <c r="AT1092" t="str">
        <f t="shared" si="436"/>
        <v>catc</v>
      </c>
    </row>
    <row r="1093" spans="2:46" x14ac:dyDescent="0.25">
      <c r="B1093" t="str">
        <f>("287751")</f>
        <v>287751</v>
      </c>
      <c r="C1093" t="str">
        <f>("W00003163")</f>
        <v>W00003163</v>
      </c>
      <c r="D1093" t="str">
        <f>("Introducing management :a development guide for new managers /")</f>
        <v>Introducing management :a development guide for new managers /</v>
      </c>
      <c r="E1093" t="str">
        <f>("Johnson, Bob,1947-")</f>
        <v>Johnson, Bob,1947-</v>
      </c>
      <c r="F1093" t="str">
        <f>("Butterworth-Heinemann,")</f>
        <v>Butterworth-Heinemann,</v>
      </c>
      <c r="H1093" t="str">
        <f t="shared" si="445"/>
        <v>圖書 book</v>
      </c>
      <c r="I1093" t="str">
        <f>("HD31 J66 1999")</f>
        <v>HD31 J66 1999</v>
      </c>
      <c r="J1093" t="str">
        <f>("0750643854")</f>
        <v>0750643854</v>
      </c>
      <c r="K1093" t="str">
        <f t="shared" si="433"/>
        <v>0</v>
      </c>
      <c r="L1093" t="str">
        <f>("2001/10/10 00:00:00")</f>
        <v>2001/10/10 00:00:00</v>
      </c>
      <c r="M1093" t="str">
        <f>("2018/08/11 13:31:51")</f>
        <v>2018/08/11 13:31:51</v>
      </c>
      <c r="N1093" t="str">
        <f>("1999")</f>
        <v>1999</v>
      </c>
      <c r="O1093" t="str">
        <f t="shared" si="446"/>
        <v>4F西文書庫 4F Western Language Books</v>
      </c>
      <c r="P1093" t="s">
        <v>64</v>
      </c>
      <c r="W1093" t="str">
        <f t="shared" si="443"/>
        <v>美國國會圖書分類法</v>
      </c>
      <c r="Y1093" t="str">
        <f>("HD31")</f>
        <v>HD31</v>
      </c>
      <c r="Z1093" t="str">
        <f>("2018/08/11 13:31:51")</f>
        <v>2018/08/11 13:31:51</v>
      </c>
      <c r="AA1093" t="str">
        <f t="shared" si="434"/>
        <v>catc</v>
      </c>
      <c r="AC1093" t="str">
        <f>("J66")</f>
        <v>J66</v>
      </c>
      <c r="AE1093" t="str">
        <f t="shared" si="439"/>
        <v>c.1</v>
      </c>
      <c r="AF1093" t="str">
        <f t="shared" si="447"/>
        <v>1.可借圖書</v>
      </c>
      <c r="AG1093" t="str">
        <f t="shared" si="448"/>
        <v>在架</v>
      </c>
      <c r="AI1093" t="s">
        <v>65</v>
      </c>
      <c r="AK1093" t="str">
        <f t="shared" si="435"/>
        <v>一般(Normal)</v>
      </c>
      <c r="AO1093" t="s">
        <v>65</v>
      </c>
      <c r="AS1093" t="str">
        <f>("1999.")</f>
        <v>1999.</v>
      </c>
      <c r="AT1093" t="str">
        <f t="shared" si="436"/>
        <v>catc</v>
      </c>
    </row>
    <row r="1094" spans="2:46" x14ac:dyDescent="0.25">
      <c r="B1094" t="str">
        <f>("287824")</f>
        <v>287824</v>
      </c>
      <c r="C1094" t="str">
        <f>("W00003164")</f>
        <v>W00003164</v>
      </c>
      <c r="D1094" t="str">
        <f>("Knowledge management :enabling business growth /")</f>
        <v>Knowledge management :enabling business growth /</v>
      </c>
      <c r="E1094" t="str">
        <f>("Natarajan, Ganesh.")</f>
        <v>Natarajan, Ganesh.</v>
      </c>
      <c r="F1094" t="str">
        <f>("McGraw-Hill,")</f>
        <v>McGraw-Hill,</v>
      </c>
      <c r="H1094" t="str">
        <f t="shared" si="445"/>
        <v>圖書 book</v>
      </c>
      <c r="I1094" t="str">
        <f>("HD30.2 N273 2001")</f>
        <v>HD30.2 N273 2001</v>
      </c>
      <c r="J1094" t="str">
        <f>("0071188207")</f>
        <v>0071188207</v>
      </c>
      <c r="K1094" t="str">
        <f t="shared" si="433"/>
        <v>0</v>
      </c>
      <c r="L1094" t="str">
        <f>("2001/10/10 00:00:00")</f>
        <v>2001/10/10 00:00:00</v>
      </c>
      <c r="M1094" t="str">
        <f>("2018/08/11 13:31:57")</f>
        <v>2018/08/11 13:31:57</v>
      </c>
      <c r="N1094" t="str">
        <f>("2001")</f>
        <v>2001</v>
      </c>
      <c r="O1094" t="str">
        <f t="shared" si="446"/>
        <v>4F西文書庫 4F Western Language Books</v>
      </c>
      <c r="P1094" t="s">
        <v>64</v>
      </c>
      <c r="W1094" t="str">
        <f t="shared" si="443"/>
        <v>美國國會圖書分類法</v>
      </c>
      <c r="Y1094" t="str">
        <f>("HD30.2")</f>
        <v>HD30.2</v>
      </c>
      <c r="Z1094" t="str">
        <f>("2018/08/11 13:31:57")</f>
        <v>2018/08/11 13:31:57</v>
      </c>
      <c r="AA1094" t="str">
        <f t="shared" si="434"/>
        <v>catc</v>
      </c>
      <c r="AC1094" t="str">
        <f>("N273")</f>
        <v>N273</v>
      </c>
      <c r="AE1094" t="str">
        <f t="shared" si="439"/>
        <v>c.1</v>
      </c>
      <c r="AF1094" t="str">
        <f t="shared" si="447"/>
        <v>1.可借圖書</v>
      </c>
      <c r="AG1094" t="str">
        <f t="shared" si="448"/>
        <v>在架</v>
      </c>
      <c r="AI1094" t="s">
        <v>65</v>
      </c>
      <c r="AK1094" t="str">
        <f t="shared" si="435"/>
        <v>一般(Normal)</v>
      </c>
      <c r="AO1094" t="s">
        <v>65</v>
      </c>
      <c r="AS1094" t="str">
        <f>("2001.")</f>
        <v>2001.</v>
      </c>
      <c r="AT1094" t="str">
        <f t="shared" si="436"/>
        <v>catc</v>
      </c>
    </row>
    <row r="1095" spans="2:46" x14ac:dyDescent="0.25">
      <c r="B1095" t="str">
        <f>("290516")</f>
        <v>290516</v>
      </c>
      <c r="C1095" t="str">
        <f>("W00003165")</f>
        <v>W00003165</v>
      </c>
      <c r="D1095" t="str">
        <f>("Marketing for the voluntary sector :a guide to measuring marketing performance /")</f>
        <v>Marketing for the voluntary sector :a guide to measuring marketing performance /</v>
      </c>
      <c r="E1095" t="str">
        <f>("Keaveney, Paula.;Kaufmann, Michael.")</f>
        <v>Keaveney, Paula.;Kaufmann, Michael.</v>
      </c>
      <c r="F1095" t="str">
        <f>("Kogan Page,")</f>
        <v>Kogan Page,</v>
      </c>
      <c r="H1095" t="str">
        <f t="shared" si="445"/>
        <v>圖書 book</v>
      </c>
      <c r="I1095" t="str">
        <f>("HV245 M345 2001")</f>
        <v>HV245 M345 2001</v>
      </c>
      <c r="J1095" t="str">
        <f>("0749432500")</f>
        <v>0749432500</v>
      </c>
      <c r="K1095" t="str">
        <f t="shared" si="433"/>
        <v>0</v>
      </c>
      <c r="L1095" t="str">
        <f>("2001/10/16 00:00:00")</f>
        <v>2001/10/16 00:00:00</v>
      </c>
      <c r="M1095" t="str">
        <f>("2018/08/11 13:36:32")</f>
        <v>2018/08/11 13:36:32</v>
      </c>
      <c r="N1095" t="str">
        <f>("2001")</f>
        <v>2001</v>
      </c>
      <c r="O1095" t="str">
        <f t="shared" si="446"/>
        <v>4F西文書庫 4F Western Language Books</v>
      </c>
      <c r="P1095" t="s">
        <v>64</v>
      </c>
      <c r="W1095" t="str">
        <f t="shared" si="443"/>
        <v>美國國會圖書分類法</v>
      </c>
      <c r="Y1095" t="str">
        <f>("HV245")</f>
        <v>HV245</v>
      </c>
      <c r="Z1095" t="str">
        <f>("2018/08/11 13:36:32")</f>
        <v>2018/08/11 13:36:32</v>
      </c>
      <c r="AA1095" t="str">
        <f t="shared" si="434"/>
        <v>catc</v>
      </c>
      <c r="AC1095" t="str">
        <f>("M345")</f>
        <v>M345</v>
      </c>
      <c r="AE1095" t="str">
        <f t="shared" si="439"/>
        <v>c.1</v>
      </c>
      <c r="AF1095" t="str">
        <f t="shared" si="447"/>
        <v>1.可借圖書</v>
      </c>
      <c r="AG1095" t="str">
        <f t="shared" si="448"/>
        <v>在架</v>
      </c>
      <c r="AI1095" t="s">
        <v>65</v>
      </c>
      <c r="AK1095" t="str">
        <f t="shared" si="435"/>
        <v>一般(Normal)</v>
      </c>
      <c r="AO1095" t="s">
        <v>65</v>
      </c>
      <c r="AS1095" t="str">
        <f>("2001.")</f>
        <v>2001.</v>
      </c>
      <c r="AT1095" t="str">
        <f t="shared" si="436"/>
        <v>catc</v>
      </c>
    </row>
    <row r="1096" spans="2:46" x14ac:dyDescent="0.25">
      <c r="B1096" t="str">
        <f>("287598")</f>
        <v>287598</v>
      </c>
      <c r="C1096" t="str">
        <f>("W00003166")</f>
        <v>W00003166</v>
      </c>
      <c r="D1096" t="str">
        <f>("The mentoring manager :strategies for fostering talent and spreading knowledge. /")</f>
        <v>The mentoring manager :strategies for fostering talent and spreading knowledge. /</v>
      </c>
      <c r="E1096" t="str">
        <f>("Lewis, Gareth.")</f>
        <v>Lewis, Gareth.</v>
      </c>
      <c r="F1096" t="str">
        <f>("Prentice Hall,")</f>
        <v>Prentice Hall,</v>
      </c>
      <c r="H1096" t="str">
        <f t="shared" si="445"/>
        <v>圖書 book</v>
      </c>
      <c r="I1096" t="str">
        <f>("HF5385 L674 2000")</f>
        <v>HF5385 L674 2000</v>
      </c>
      <c r="J1096" t="str">
        <f>("027364484X")</f>
        <v>027364484X</v>
      </c>
      <c r="K1096" t="str">
        <f t="shared" si="433"/>
        <v>0</v>
      </c>
      <c r="L1096" t="str">
        <f>("2001/10/10 00:00:00")</f>
        <v>2001/10/10 00:00:00</v>
      </c>
      <c r="M1096" t="str">
        <f>("2018/08/11 13:31:40")</f>
        <v>2018/08/11 13:31:40</v>
      </c>
      <c r="N1096" t="str">
        <f>("2000")</f>
        <v>2000</v>
      </c>
      <c r="O1096" t="str">
        <f t="shared" si="446"/>
        <v>4F西文書庫 4F Western Language Books</v>
      </c>
      <c r="P1096" t="s">
        <v>64</v>
      </c>
      <c r="W1096" t="str">
        <f t="shared" si="443"/>
        <v>美國國會圖書分類法</v>
      </c>
      <c r="Y1096" t="str">
        <f>("HF5385")</f>
        <v>HF5385</v>
      </c>
      <c r="Z1096" t="str">
        <f>("2018/08/11 13:31:40")</f>
        <v>2018/08/11 13:31:40</v>
      </c>
      <c r="AA1096" t="str">
        <f t="shared" si="434"/>
        <v>catc</v>
      </c>
      <c r="AC1096" t="str">
        <f>("L674")</f>
        <v>L674</v>
      </c>
      <c r="AE1096" t="str">
        <f t="shared" si="439"/>
        <v>c.1</v>
      </c>
      <c r="AF1096" t="str">
        <f t="shared" si="447"/>
        <v>1.可借圖書</v>
      </c>
      <c r="AG1096" t="str">
        <f t="shared" si="448"/>
        <v>在架</v>
      </c>
      <c r="AI1096" t="s">
        <v>65</v>
      </c>
      <c r="AK1096" t="str">
        <f t="shared" si="435"/>
        <v>一般(Normal)</v>
      </c>
      <c r="AO1096" t="s">
        <v>65</v>
      </c>
      <c r="AS1096" t="str">
        <f>("2000.")</f>
        <v>2000.</v>
      </c>
      <c r="AT1096" t="str">
        <f t="shared" si="436"/>
        <v>catc</v>
      </c>
    </row>
    <row r="1097" spans="2:46" x14ac:dyDescent="0.25">
      <c r="B1097" t="str">
        <f>("287597")</f>
        <v>287597</v>
      </c>
      <c r="C1097" t="str">
        <f>("W00003167")</f>
        <v>W00003167</v>
      </c>
      <c r="D1097" t="str">
        <f>("Mind to mind marketing :communicate with your customers and create a segment of one /")</f>
        <v>Mind to mind marketing :communicate with your customers and create a segment of one /</v>
      </c>
      <c r="E1097" t="str">
        <f>("Alder, Harry. ")</f>
        <v xml:space="preserve">Alder, Harry. </v>
      </c>
      <c r="F1097" t="str">
        <f>("Kogan Page,")</f>
        <v>Kogan Page,</v>
      </c>
      <c r="H1097" t="str">
        <f t="shared" si="445"/>
        <v>圖書 book</v>
      </c>
      <c r="I1097" t="str">
        <f>("HF5415 A361 2001")</f>
        <v>HF5415 A361 2001</v>
      </c>
      <c r="J1097" t="str">
        <f>("0749433663")</f>
        <v>0749433663</v>
      </c>
      <c r="K1097" t="str">
        <f t="shared" si="433"/>
        <v>0</v>
      </c>
      <c r="L1097" t="str">
        <f>("2001/10/10 00:00:00")</f>
        <v>2001/10/10 00:00:00</v>
      </c>
      <c r="M1097" t="str">
        <f>("2018/08/11 13:31:40")</f>
        <v>2018/08/11 13:31:40</v>
      </c>
      <c r="N1097" t="str">
        <f>("2001")</f>
        <v>2001</v>
      </c>
      <c r="O1097" t="str">
        <f t="shared" si="446"/>
        <v>4F西文書庫 4F Western Language Books</v>
      </c>
      <c r="P1097" t="s">
        <v>64</v>
      </c>
      <c r="W1097" t="str">
        <f t="shared" si="443"/>
        <v>美國國會圖書分類法</v>
      </c>
      <c r="Y1097" t="str">
        <f>("HF5415")</f>
        <v>HF5415</v>
      </c>
      <c r="Z1097" t="str">
        <f>("2018/08/11 13:31:40")</f>
        <v>2018/08/11 13:31:40</v>
      </c>
      <c r="AA1097" t="str">
        <f t="shared" si="434"/>
        <v>catc</v>
      </c>
      <c r="AC1097" t="str">
        <f>("A361")</f>
        <v>A361</v>
      </c>
      <c r="AE1097" t="str">
        <f t="shared" si="439"/>
        <v>c.1</v>
      </c>
      <c r="AF1097" t="str">
        <f t="shared" si="447"/>
        <v>1.可借圖書</v>
      </c>
      <c r="AG1097" t="str">
        <f t="shared" si="448"/>
        <v>在架</v>
      </c>
      <c r="AI1097" t="s">
        <v>65</v>
      </c>
      <c r="AK1097" t="str">
        <f t="shared" si="435"/>
        <v>一般(Normal)</v>
      </c>
      <c r="AO1097" t="s">
        <v>65</v>
      </c>
      <c r="AS1097" t="str">
        <f>("2001.")</f>
        <v>2001.</v>
      </c>
      <c r="AT1097" t="str">
        <f t="shared" si="436"/>
        <v>catc</v>
      </c>
    </row>
    <row r="1098" spans="2:46" x14ac:dyDescent="0.25">
      <c r="B1098" t="str">
        <f>("287599")</f>
        <v>287599</v>
      </c>
      <c r="C1098" t="str">
        <f>("W00003168")</f>
        <v>W00003168</v>
      </c>
      <c r="D1098" t="str">
        <f>("Narrative methods for organizational and communication research /")</f>
        <v>Narrative methods for organizational and communication research /</v>
      </c>
      <c r="E1098" t="str">
        <f>("Boje, David M.")</f>
        <v>Boje, David M.</v>
      </c>
      <c r="F1098" t="str">
        <f>("SAGE,")</f>
        <v>SAGE,</v>
      </c>
      <c r="H1098" t="str">
        <f t="shared" si="445"/>
        <v>圖書 book</v>
      </c>
      <c r="I1098" t="str">
        <f>("HD30.4 B685 2001")</f>
        <v>HD30.4 B685 2001</v>
      </c>
      <c r="J1098" t="str">
        <f>("0761965866;0761965874")</f>
        <v>0761965866;0761965874</v>
      </c>
      <c r="K1098" t="str">
        <f t="shared" si="433"/>
        <v>0</v>
      </c>
      <c r="L1098" t="str">
        <f>("2001/10/10 00:00:00")</f>
        <v>2001/10/10 00:00:00</v>
      </c>
      <c r="M1098" t="str">
        <f>("2018/08/11 13:31:40")</f>
        <v>2018/08/11 13:31:40</v>
      </c>
      <c r="N1098" t="str">
        <f>("2001")</f>
        <v>2001</v>
      </c>
      <c r="O1098" t="str">
        <f t="shared" si="446"/>
        <v>4F西文書庫 4F Western Language Books</v>
      </c>
      <c r="P1098" t="s">
        <v>64</v>
      </c>
      <c r="W1098" t="str">
        <f t="shared" si="443"/>
        <v>美國國會圖書分類法</v>
      </c>
      <c r="Y1098" t="str">
        <f>("HD30.4")</f>
        <v>HD30.4</v>
      </c>
      <c r="Z1098" t="str">
        <f>("2018/08/11 13:31:40")</f>
        <v>2018/08/11 13:31:40</v>
      </c>
      <c r="AA1098" t="str">
        <f t="shared" si="434"/>
        <v>catc</v>
      </c>
      <c r="AC1098" t="str">
        <f>("B685")</f>
        <v>B685</v>
      </c>
      <c r="AE1098" t="str">
        <f t="shared" si="439"/>
        <v>c.1</v>
      </c>
      <c r="AF1098" t="str">
        <f t="shared" si="447"/>
        <v>1.可借圖書</v>
      </c>
      <c r="AG1098" t="str">
        <f t="shared" si="448"/>
        <v>在架</v>
      </c>
      <c r="AI1098" t="s">
        <v>65</v>
      </c>
      <c r="AK1098" t="str">
        <f t="shared" si="435"/>
        <v>一般(Normal)</v>
      </c>
      <c r="AO1098" t="s">
        <v>65</v>
      </c>
      <c r="AS1098" t="str">
        <f>("2001.")</f>
        <v>2001.</v>
      </c>
      <c r="AT1098" t="str">
        <f t="shared" si="436"/>
        <v>catc</v>
      </c>
    </row>
    <row r="1099" spans="2:46" x14ac:dyDescent="0.25">
      <c r="B1099" t="str">
        <f>("287600")</f>
        <v>287600</v>
      </c>
      <c r="C1099" t="str">
        <f>("W00003169")</f>
        <v>W00003169</v>
      </c>
      <c r="D1099" t="str">
        <f>("Response ability :the language, structure, and culture of the agile enterprise /")</f>
        <v>Response ability :the language, structure, and culture of the agile enterprise /</v>
      </c>
      <c r="E1099" t="str">
        <f>("Dove, Rick,1943-")</f>
        <v>Dove, Rick,1943-</v>
      </c>
      <c r="F1099" t="str">
        <f>("John Wiley &amp; Sons,")</f>
        <v>John Wiley &amp; Sons,</v>
      </c>
      <c r="H1099" t="str">
        <f t="shared" si="445"/>
        <v>圖書 book</v>
      </c>
      <c r="I1099" t="str">
        <f>("HD58.8 D743 2001")</f>
        <v>HD58.8 D743 2001</v>
      </c>
      <c r="J1099" t="str">
        <f>("0471350184")</f>
        <v>0471350184</v>
      </c>
      <c r="K1099" t="str">
        <f t="shared" si="433"/>
        <v>0</v>
      </c>
      <c r="L1099" t="str">
        <f>("2001/10/10 00:00:00")</f>
        <v>2001/10/10 00:00:00</v>
      </c>
      <c r="M1099" t="str">
        <f>("2018/08/11 13:31:40")</f>
        <v>2018/08/11 13:31:40</v>
      </c>
      <c r="N1099" t="str">
        <f>("2001")</f>
        <v>2001</v>
      </c>
      <c r="O1099" t="str">
        <f t="shared" si="446"/>
        <v>4F西文書庫 4F Western Language Books</v>
      </c>
      <c r="P1099" t="s">
        <v>64</v>
      </c>
      <c r="W1099" t="str">
        <f t="shared" si="443"/>
        <v>美國國會圖書分類法</v>
      </c>
      <c r="Y1099" t="str">
        <f>("HD58.8")</f>
        <v>HD58.8</v>
      </c>
      <c r="Z1099" t="str">
        <f>("2018/08/11 13:31:40")</f>
        <v>2018/08/11 13:31:40</v>
      </c>
      <c r="AA1099" t="str">
        <f t="shared" si="434"/>
        <v>catc</v>
      </c>
      <c r="AC1099" t="str">
        <f>("D743")</f>
        <v>D743</v>
      </c>
      <c r="AE1099" t="str">
        <f t="shared" si="439"/>
        <v>c.1</v>
      </c>
      <c r="AF1099" t="str">
        <f t="shared" si="447"/>
        <v>1.可借圖書</v>
      </c>
      <c r="AG1099" t="str">
        <f t="shared" si="448"/>
        <v>在架</v>
      </c>
      <c r="AI1099" t="s">
        <v>65</v>
      </c>
      <c r="AK1099" t="str">
        <f t="shared" si="435"/>
        <v>一般(Normal)</v>
      </c>
      <c r="AO1099" t="s">
        <v>65</v>
      </c>
      <c r="AS1099" t="str">
        <f>("c2001.")</f>
        <v>c2001.</v>
      </c>
      <c r="AT1099" t="str">
        <f t="shared" si="436"/>
        <v>catc</v>
      </c>
    </row>
    <row r="1100" spans="2:46" x14ac:dyDescent="0.25">
      <c r="B1100" t="str">
        <f>("287661")</f>
        <v>287661</v>
      </c>
      <c r="C1100" t="str">
        <f>("W00003170")</f>
        <v>W00003170</v>
      </c>
      <c r="D1100" t="str">
        <f>("Rules of thumb for business writers /")</f>
        <v>Rules of thumb for business writers /</v>
      </c>
      <c r="E1100" t="str">
        <f>("Wienbroer, Diana Roberts.")</f>
        <v>Wienbroer, Diana Roberts.</v>
      </c>
      <c r="F1100" t="str">
        <f>("McGraw-Hill,")</f>
        <v>McGraw-Hill,</v>
      </c>
      <c r="H1100" t="str">
        <f t="shared" si="445"/>
        <v>圖書 book</v>
      </c>
      <c r="I1100" t="str">
        <f>("HF5718.3 W647 2000")</f>
        <v>HF5718.3 W647 2000</v>
      </c>
      <c r="J1100" t="str">
        <f>("0071357211;0072347465")</f>
        <v>0071357211;0072347465</v>
      </c>
      <c r="K1100" t="str">
        <f t="shared" si="433"/>
        <v>0</v>
      </c>
      <c r="L1100" t="str">
        <f>("2001/10/10 00:00:00")</f>
        <v>2001/10/10 00:00:00</v>
      </c>
      <c r="M1100" t="str">
        <f>("2018/08/11 13:31:40")</f>
        <v>2018/08/11 13:31:40</v>
      </c>
      <c r="N1100" t="str">
        <f>("2000")</f>
        <v>2000</v>
      </c>
      <c r="O1100" t="str">
        <f t="shared" si="446"/>
        <v>4F西文書庫 4F Western Language Books</v>
      </c>
      <c r="P1100" t="s">
        <v>64</v>
      </c>
      <c r="W1100" t="str">
        <f t="shared" si="443"/>
        <v>美國國會圖書分類法</v>
      </c>
      <c r="Y1100" t="str">
        <f>("HF5718.3")</f>
        <v>HF5718.3</v>
      </c>
      <c r="Z1100" t="str">
        <f>("2018/08/11 13:31:40")</f>
        <v>2018/08/11 13:31:40</v>
      </c>
      <c r="AA1100" t="str">
        <f t="shared" si="434"/>
        <v>catc</v>
      </c>
      <c r="AC1100" t="str">
        <f>("W647")</f>
        <v>W647</v>
      </c>
      <c r="AE1100" t="str">
        <f t="shared" si="439"/>
        <v>c.1</v>
      </c>
      <c r="AF1100" t="str">
        <f t="shared" si="447"/>
        <v>1.可借圖書</v>
      </c>
      <c r="AG1100" t="str">
        <f t="shared" si="448"/>
        <v>在架</v>
      </c>
      <c r="AI1100" t="s">
        <v>65</v>
      </c>
      <c r="AK1100" t="str">
        <f t="shared" si="435"/>
        <v>一般(Normal)</v>
      </c>
      <c r="AO1100" t="s">
        <v>65</v>
      </c>
      <c r="AS1100" t="str">
        <f>("c2000.")</f>
        <v>c2000.</v>
      </c>
      <c r="AT1100" t="str">
        <f t="shared" si="436"/>
        <v>catc</v>
      </c>
    </row>
    <row r="1101" spans="2:46" x14ac:dyDescent="0.25">
      <c r="B1101" t="str">
        <f>("290502")</f>
        <v>290502</v>
      </c>
      <c r="C1101" t="str">
        <f>("W00003171")</f>
        <v>W00003171</v>
      </c>
      <c r="D1101" t="str">
        <f>("Secrets of software success :management insights from 100 software firms around the world /")</f>
        <v>Secrets of software success :management insights from 100 software firms around the world /</v>
      </c>
      <c r="E1101" t="str">
        <f>("Hoch, Detlev J.,1954-")</f>
        <v>Hoch, Detlev J.,1954-</v>
      </c>
      <c r="F1101" t="str">
        <f>("Harvard Business School Press,")</f>
        <v>Harvard Business School Press,</v>
      </c>
      <c r="H1101" t="str">
        <f t="shared" si="445"/>
        <v>圖書 book</v>
      </c>
      <c r="I1101" t="str">
        <f>("HD9696.63.A2 S446 2000")</f>
        <v>HD9696.63.A2 S446 2000</v>
      </c>
      <c r="J1101" t="str">
        <f>("1578511054")</f>
        <v>1578511054</v>
      </c>
      <c r="K1101" t="str">
        <f t="shared" si="433"/>
        <v>0</v>
      </c>
      <c r="L1101" t="str">
        <f>("2001/10/16 00:00:00")</f>
        <v>2001/10/16 00:00:00</v>
      </c>
      <c r="M1101" t="str">
        <f>("2018/08/11 13:36:30")</f>
        <v>2018/08/11 13:36:30</v>
      </c>
      <c r="N1101" t="str">
        <f>("2000")</f>
        <v>2000</v>
      </c>
      <c r="O1101" t="str">
        <f t="shared" si="446"/>
        <v>4F西文書庫 4F Western Language Books</v>
      </c>
      <c r="P1101" t="s">
        <v>64</v>
      </c>
      <c r="S1101" t="str">
        <f>("xix, 312 p. :")</f>
        <v>xix, 312 p. :</v>
      </c>
      <c r="T1101" t="str">
        <f>("ill. ;")</f>
        <v>ill. ;</v>
      </c>
      <c r="U1101" t="str">
        <f>("24 cm.")</f>
        <v>24 cm.</v>
      </c>
      <c r="W1101" t="str">
        <f t="shared" si="443"/>
        <v>美國國會圖書分類法</v>
      </c>
      <c r="Y1101" t="str">
        <f>("HD9696.63.A2")</f>
        <v>HD9696.63.A2</v>
      </c>
      <c r="Z1101" t="str">
        <f>("2018/08/11 13:36:30")</f>
        <v>2018/08/11 13:36:30</v>
      </c>
      <c r="AA1101" t="str">
        <f t="shared" si="434"/>
        <v>catc</v>
      </c>
      <c r="AC1101" t="str">
        <f>("S446")</f>
        <v>S446</v>
      </c>
      <c r="AE1101" t="str">
        <f t="shared" si="439"/>
        <v>c.1</v>
      </c>
      <c r="AF1101" t="str">
        <f t="shared" si="447"/>
        <v>1.可借圖書</v>
      </c>
      <c r="AG1101" t="str">
        <f t="shared" si="448"/>
        <v>在架</v>
      </c>
      <c r="AI1101" t="s">
        <v>65</v>
      </c>
      <c r="AK1101" t="str">
        <f t="shared" si="435"/>
        <v>一般(Normal)</v>
      </c>
      <c r="AO1101" t="s">
        <v>65</v>
      </c>
      <c r="AS1101" t="str">
        <f>("c2000.")</f>
        <v>c2000.</v>
      </c>
      <c r="AT1101" t="str">
        <f t="shared" si="436"/>
        <v>catc</v>
      </c>
    </row>
    <row r="1102" spans="2:46" x14ac:dyDescent="0.25">
      <c r="B1102" t="str">
        <f>("290503")</f>
        <v>290503</v>
      </c>
      <c r="C1102" t="str">
        <f>("W00003172")</f>
        <v>W00003172</v>
      </c>
      <c r="D1102" t="str">
        <f>("TechVenture :new rules on value and profit from Silicon Valley /")</f>
        <v>TechVenture :new rules on value and profit from Silicon Valley /</v>
      </c>
      <c r="E1102" t="str">
        <f>("Sawhney, Mohanbir S.")</f>
        <v>Sawhney, Mohanbir S.</v>
      </c>
      <c r="F1102" t="str">
        <f>("John Wiley &amp; Sons,")</f>
        <v>John Wiley &amp; Sons,</v>
      </c>
      <c r="H1102" t="str">
        <f t="shared" si="445"/>
        <v>圖書 book</v>
      </c>
      <c r="I1102" t="str">
        <f>("HF5548.32 T255 2001")</f>
        <v>HF5548.32 T255 2001</v>
      </c>
      <c r="J1102" t="str">
        <f>("0471414247")</f>
        <v>0471414247</v>
      </c>
      <c r="K1102" t="str">
        <f t="shared" si="433"/>
        <v>0</v>
      </c>
      <c r="L1102" t="str">
        <f>("2001/10/16 00:00:00")</f>
        <v>2001/10/16 00:00:00</v>
      </c>
      <c r="M1102" t="str">
        <f>("2018/08/11 13:36:30")</f>
        <v>2018/08/11 13:36:30</v>
      </c>
      <c r="N1102" t="str">
        <f>("2001")</f>
        <v>2001</v>
      </c>
      <c r="O1102" t="str">
        <f t="shared" si="446"/>
        <v>4F西文書庫 4F Western Language Books</v>
      </c>
      <c r="P1102" t="s">
        <v>64</v>
      </c>
      <c r="W1102" t="str">
        <f t="shared" si="443"/>
        <v>美國國會圖書分類法</v>
      </c>
      <c r="Y1102" t="str">
        <f>("HF5548.32")</f>
        <v>HF5548.32</v>
      </c>
      <c r="Z1102" t="str">
        <f>("2018/08/11 13:36:30")</f>
        <v>2018/08/11 13:36:30</v>
      </c>
      <c r="AA1102" t="str">
        <f t="shared" si="434"/>
        <v>catc</v>
      </c>
      <c r="AC1102" t="str">
        <f>("T255")</f>
        <v>T255</v>
      </c>
      <c r="AE1102" t="str">
        <f t="shared" si="439"/>
        <v>c.1</v>
      </c>
      <c r="AF1102" t="str">
        <f t="shared" si="447"/>
        <v>1.可借圖書</v>
      </c>
      <c r="AG1102" t="str">
        <f t="shared" si="448"/>
        <v>在架</v>
      </c>
      <c r="AI1102" t="s">
        <v>65</v>
      </c>
      <c r="AK1102" t="str">
        <f t="shared" si="435"/>
        <v>一般(Normal)</v>
      </c>
      <c r="AO1102" t="s">
        <v>65</v>
      </c>
      <c r="AS1102" t="str">
        <f>("c2001.")</f>
        <v>c2001.</v>
      </c>
      <c r="AT1102" t="str">
        <f t="shared" si="436"/>
        <v>catc</v>
      </c>
    </row>
    <row r="1103" spans="2:46" x14ac:dyDescent="0.25">
      <c r="B1103" t="str">
        <f>("287742")</f>
        <v>287742</v>
      </c>
      <c r="C1103" t="str">
        <f>("W00003173")</f>
        <v>W00003173</v>
      </c>
      <c r="D1103" t="str">
        <f>("The attention economy :understanding the new currency of business /")</f>
        <v>The attention economy :understanding the new currency of business /</v>
      </c>
      <c r="E1103" t="str">
        <f>("Davenport, Thomas H.,1954-")</f>
        <v>Davenport, Thomas H.,1954-</v>
      </c>
      <c r="F1103" t="str">
        <f>("Harvard Business School Press,")</f>
        <v>Harvard Business School Press,</v>
      </c>
      <c r="H1103" t="str">
        <f t="shared" si="445"/>
        <v>圖書 book</v>
      </c>
      <c r="I1103" t="str">
        <f>("HD30.2 D247 2001")</f>
        <v>HD30.2 D247 2001</v>
      </c>
      <c r="J1103" t="str">
        <f>("157851441X")</f>
        <v>157851441X</v>
      </c>
      <c r="K1103" t="str">
        <f t="shared" si="433"/>
        <v>0</v>
      </c>
      <c r="L1103" t="str">
        <f t="shared" ref="L1103:L1108" si="449">("2001/10/10 00:00:00")</f>
        <v>2001/10/10 00:00:00</v>
      </c>
      <c r="M1103" t="str">
        <f>("2018/08/11 13:31:49")</f>
        <v>2018/08/11 13:31:49</v>
      </c>
      <c r="N1103" t="str">
        <f>("2001")</f>
        <v>2001</v>
      </c>
      <c r="O1103" t="str">
        <f t="shared" si="446"/>
        <v>4F西文書庫 4F Western Language Books</v>
      </c>
      <c r="P1103" t="s">
        <v>64</v>
      </c>
      <c r="W1103" t="str">
        <f t="shared" si="443"/>
        <v>美國國會圖書分類法</v>
      </c>
      <c r="Y1103" t="str">
        <f>("HD30.2")</f>
        <v>HD30.2</v>
      </c>
      <c r="Z1103" t="str">
        <f>("2018/08/11 13:31:49")</f>
        <v>2018/08/11 13:31:49</v>
      </c>
      <c r="AA1103" t="str">
        <f t="shared" si="434"/>
        <v>catc</v>
      </c>
      <c r="AC1103" t="str">
        <f>("D247")</f>
        <v>D247</v>
      </c>
      <c r="AE1103" t="str">
        <f t="shared" si="439"/>
        <v>c.1</v>
      </c>
      <c r="AF1103" t="str">
        <f t="shared" si="447"/>
        <v>1.可借圖書</v>
      </c>
      <c r="AG1103" t="str">
        <f t="shared" si="448"/>
        <v>在架</v>
      </c>
      <c r="AI1103" t="s">
        <v>65</v>
      </c>
      <c r="AK1103" t="str">
        <f t="shared" si="435"/>
        <v>一般(Normal)</v>
      </c>
      <c r="AO1103" t="s">
        <v>65</v>
      </c>
      <c r="AS1103" t="str">
        <f>("c2001.")</f>
        <v>c2001.</v>
      </c>
      <c r="AT1103" t="str">
        <f t="shared" si="436"/>
        <v>catc</v>
      </c>
    </row>
    <row r="1104" spans="2:46" x14ac:dyDescent="0.25">
      <c r="B1104" t="str">
        <f>("287449")</f>
        <v>287449</v>
      </c>
      <c r="C1104" t="str">
        <f>("W00003174")</f>
        <v>W00003174</v>
      </c>
      <c r="D1104" t="str">
        <f>("The average family's guide to financial freedom /")</f>
        <v>The average family's guide to financial freedom /</v>
      </c>
      <c r="E1104" t="str">
        <f>("Toohey, Bill,1952-")</f>
        <v>Toohey, Bill,1952-</v>
      </c>
      <c r="F1104" t="str">
        <f>("J. Wiley,")</f>
        <v>J. Wiley,</v>
      </c>
      <c r="H1104" t="str">
        <f t="shared" si="445"/>
        <v>圖書 book</v>
      </c>
      <c r="I1104" t="str">
        <f>("HQ518 T668 2000")</f>
        <v>HQ518 T668 2000</v>
      </c>
      <c r="J1104" t="str">
        <f>("0471352284")</f>
        <v>0471352284</v>
      </c>
      <c r="K1104" t="str">
        <f t="shared" ref="K1104:K1167" si="450">("0")</f>
        <v>0</v>
      </c>
      <c r="L1104" t="str">
        <f t="shared" si="449"/>
        <v>2001/10/10 00:00:00</v>
      </c>
      <c r="M1104" t="str">
        <f>("2018/08/11 13:31:17")</f>
        <v>2018/08/11 13:31:17</v>
      </c>
      <c r="N1104" t="str">
        <f>("2000")</f>
        <v>2000</v>
      </c>
      <c r="O1104" t="str">
        <f t="shared" si="446"/>
        <v>4F西文書庫 4F Western Language Books</v>
      </c>
      <c r="P1104" t="s">
        <v>64</v>
      </c>
      <c r="S1104" t="str">
        <f>("x, 246 p. :")</f>
        <v>x, 246 p. :</v>
      </c>
      <c r="T1104" t="str">
        <f>("ill. ;")</f>
        <v>ill. ;</v>
      </c>
      <c r="U1104" t="str">
        <f>("24 cm.")</f>
        <v>24 cm.</v>
      </c>
      <c r="W1104" t="str">
        <f t="shared" si="443"/>
        <v>美國國會圖書分類法</v>
      </c>
      <c r="Y1104" t="str">
        <f>("HQ518")</f>
        <v>HQ518</v>
      </c>
      <c r="Z1104" t="str">
        <f>("2018/08/11 13:31:17")</f>
        <v>2018/08/11 13:31:17</v>
      </c>
      <c r="AA1104" t="str">
        <f t="shared" ref="AA1104:AA1167" si="451">("catc")</f>
        <v>catc</v>
      </c>
      <c r="AC1104" t="str">
        <f>("T668")</f>
        <v>T668</v>
      </c>
      <c r="AE1104" t="str">
        <f t="shared" si="439"/>
        <v>c.1</v>
      </c>
      <c r="AF1104" t="str">
        <f t="shared" si="447"/>
        <v>1.可借圖書</v>
      </c>
      <c r="AG1104" t="str">
        <f t="shared" si="448"/>
        <v>在架</v>
      </c>
      <c r="AI1104" t="s">
        <v>65</v>
      </c>
      <c r="AK1104" t="str">
        <f t="shared" ref="AK1104:AK1167" si="452">("一般(Normal)")</f>
        <v>一般(Normal)</v>
      </c>
      <c r="AO1104" t="s">
        <v>65</v>
      </c>
      <c r="AS1104" t="str">
        <f>("2000.")</f>
        <v>2000.</v>
      </c>
      <c r="AT1104" t="str">
        <f t="shared" ref="AT1104:AT1167" si="453">("catc")</f>
        <v>catc</v>
      </c>
    </row>
    <row r="1105" spans="2:46" x14ac:dyDescent="0.25">
      <c r="B1105" t="str">
        <f>("287656")</f>
        <v>287656</v>
      </c>
      <c r="C1105" t="str">
        <f>("W00003175")</f>
        <v>W00003175</v>
      </c>
      <c r="D1105" t="str">
        <f>("The big book of motivation games :quick, fun activities for energizing people at work and at home /")</f>
        <v>The big book of motivation games :quick, fun activities for energizing people at work and at home /</v>
      </c>
      <c r="E1105" t="str">
        <f>("Epstein, Robert,1953-")</f>
        <v>Epstein, Robert,1953-</v>
      </c>
      <c r="F1105" t="str">
        <f>("McGraw-Hill,")</f>
        <v>McGraw-Hill,</v>
      </c>
      <c r="H1105" t="str">
        <f t="shared" si="445"/>
        <v>圖書 book</v>
      </c>
      <c r="I1105" t="str">
        <f>("BF503 E64 2001")</f>
        <v>BF503 E64 2001</v>
      </c>
      <c r="J1105" t="str">
        <f>("0071372342")</f>
        <v>0071372342</v>
      </c>
      <c r="K1105" t="str">
        <f t="shared" si="450"/>
        <v>0</v>
      </c>
      <c r="L1105" t="str">
        <f t="shared" si="449"/>
        <v>2001/10/10 00:00:00</v>
      </c>
      <c r="M1105" t="str">
        <f>("2018/08/11 13:31:40")</f>
        <v>2018/08/11 13:31:40</v>
      </c>
      <c r="N1105" t="str">
        <f>("2001")</f>
        <v>2001</v>
      </c>
      <c r="O1105" t="str">
        <f t="shared" si="446"/>
        <v>4F西文書庫 4F Western Language Books</v>
      </c>
      <c r="P1105" t="s">
        <v>64</v>
      </c>
      <c r="W1105" t="str">
        <f t="shared" si="443"/>
        <v>美國國會圖書分類法</v>
      </c>
      <c r="Y1105" t="str">
        <f>("BF503")</f>
        <v>BF503</v>
      </c>
      <c r="Z1105" t="str">
        <f>("2018/08/11 13:31:40")</f>
        <v>2018/08/11 13:31:40</v>
      </c>
      <c r="AA1105" t="str">
        <f t="shared" si="451"/>
        <v>catc</v>
      </c>
      <c r="AC1105" t="str">
        <f>("E64")</f>
        <v>E64</v>
      </c>
      <c r="AE1105" t="str">
        <f t="shared" si="439"/>
        <v>c.1</v>
      </c>
      <c r="AF1105" t="str">
        <f t="shared" si="447"/>
        <v>1.可借圖書</v>
      </c>
      <c r="AG1105" t="str">
        <f t="shared" si="448"/>
        <v>在架</v>
      </c>
      <c r="AI1105" t="s">
        <v>65</v>
      </c>
      <c r="AK1105" t="str">
        <f t="shared" si="452"/>
        <v>一般(Normal)</v>
      </c>
      <c r="AO1105" t="s">
        <v>65</v>
      </c>
      <c r="AS1105" t="str">
        <f>("c2001.")</f>
        <v>c2001.</v>
      </c>
      <c r="AT1105" t="str">
        <f t="shared" si="453"/>
        <v>catc</v>
      </c>
    </row>
    <row r="1106" spans="2:46" x14ac:dyDescent="0.25">
      <c r="B1106" t="str">
        <f>("287662")</f>
        <v>287662</v>
      </c>
      <c r="C1106" t="str">
        <f>("W00003176")</f>
        <v>W00003176</v>
      </c>
      <c r="D1106" t="str">
        <f>("The computer glossary :the complete illustrated dictionary /")</f>
        <v>The computer glossary :the complete illustrated dictionary /</v>
      </c>
      <c r="E1106" t="str">
        <f>("Freedman, Alan,1942-")</f>
        <v>Freedman, Alan,1942-</v>
      </c>
      <c r="F1106" t="str">
        <f>("AMACOM,")</f>
        <v>AMACOM,</v>
      </c>
      <c r="G1106" t="str">
        <f>("9th ed.")</f>
        <v>9th ed.</v>
      </c>
      <c r="H1106" t="str">
        <f>("參考書 Reference")</f>
        <v>參考書 Reference</v>
      </c>
      <c r="I1106" t="str">
        <f>("R QA76.15 F855 2001")</f>
        <v>R QA76.15 F855 2001</v>
      </c>
      <c r="J1106" t="str">
        <f>("0814470947")</f>
        <v>0814470947</v>
      </c>
      <c r="K1106" t="str">
        <f t="shared" si="450"/>
        <v>0</v>
      </c>
      <c r="L1106" t="str">
        <f t="shared" si="449"/>
        <v>2001/10/10 00:00:00</v>
      </c>
      <c r="M1106" t="str">
        <f>("2018/08/11 13:31:41")</f>
        <v>2018/08/11 13:31:41</v>
      </c>
      <c r="N1106" t="str">
        <f>("2001")</f>
        <v>2001</v>
      </c>
      <c r="O1106" t="str">
        <f>("2F西文參考書庫 2F Western Reference Resources")</f>
        <v>2F西文參考書庫 2F Western Reference Resources</v>
      </c>
      <c r="P1106" t="s">
        <v>64</v>
      </c>
      <c r="W1106" t="str">
        <f t="shared" si="443"/>
        <v>美國國會圖書分類法</v>
      </c>
      <c r="Y1106" t="str">
        <f>("QA76.15")</f>
        <v>QA76.15</v>
      </c>
      <c r="Z1106" t="str">
        <f>("2018/08/11 13:31:40")</f>
        <v>2018/08/11 13:31:40</v>
      </c>
      <c r="AA1106" t="str">
        <f t="shared" si="451"/>
        <v>catc</v>
      </c>
      <c r="AC1106" t="str">
        <f>("F855")</f>
        <v>F855</v>
      </c>
      <c r="AE1106" t="str">
        <f t="shared" si="439"/>
        <v>c.1</v>
      </c>
      <c r="AF1106" t="str">
        <f>("參考工具書")</f>
        <v>參考工具書</v>
      </c>
      <c r="AG1106" t="str">
        <f>("報銷中")</f>
        <v>報銷中</v>
      </c>
      <c r="AI1106" t="s">
        <v>66</v>
      </c>
      <c r="AK1106" t="str">
        <f t="shared" si="452"/>
        <v>一般(Normal)</v>
      </c>
      <c r="AO1106" t="s">
        <v>65</v>
      </c>
      <c r="AS1106" t="str">
        <f>("c2001.")</f>
        <v>c2001.</v>
      </c>
      <c r="AT1106" t="str">
        <f t="shared" si="453"/>
        <v>catc</v>
      </c>
    </row>
    <row r="1107" spans="2:46" x14ac:dyDescent="0.25">
      <c r="B1107" t="str">
        <f>("287663")</f>
        <v>287663</v>
      </c>
      <c r="C1107" t="str">
        <f>("W00003177")</f>
        <v>W00003177</v>
      </c>
      <c r="D1107" t="str">
        <f>("The seven deadly skills of competing /")</f>
        <v>The seven deadly skills of competing /</v>
      </c>
      <c r="E1107" t="str">
        <f>("Essinger, James,1957-")</f>
        <v>Essinger, James,1957-</v>
      </c>
      <c r="F1107" t="str">
        <f>("International Thomson Business Press,")</f>
        <v>International Thomson Business Press,</v>
      </c>
      <c r="H1107" t="str">
        <f t="shared" ref="H1107:H1129" si="454">("圖書 book")</f>
        <v>圖書 book</v>
      </c>
      <c r="I1107" t="str">
        <f>("HF5386 E78 1999")</f>
        <v>HF5386 E78 1999</v>
      </c>
      <c r="J1107" t="str">
        <f>("1861523742")</f>
        <v>1861523742</v>
      </c>
      <c r="K1107" t="str">
        <f t="shared" si="450"/>
        <v>0</v>
      </c>
      <c r="L1107" t="str">
        <f t="shared" si="449"/>
        <v>2001/10/10 00:00:00</v>
      </c>
      <c r="M1107" t="str">
        <f>("2018/08/11 13:31:41")</f>
        <v>2018/08/11 13:31:41</v>
      </c>
      <c r="N1107" t="str">
        <f>("1999")</f>
        <v>1999</v>
      </c>
      <c r="O1107" t="str">
        <f t="shared" ref="O1107:O1116" si="455">("4F西文書庫 4F Western Language Books")</f>
        <v>4F西文書庫 4F Western Language Books</v>
      </c>
      <c r="P1107" t="s">
        <v>64</v>
      </c>
      <c r="W1107" t="str">
        <f t="shared" si="443"/>
        <v>美國國會圖書分類法</v>
      </c>
      <c r="Y1107" t="str">
        <f>("HF5386")</f>
        <v>HF5386</v>
      </c>
      <c r="Z1107" t="str">
        <f>("2018/08/11 13:31:41")</f>
        <v>2018/08/11 13:31:41</v>
      </c>
      <c r="AA1107" t="str">
        <f t="shared" si="451"/>
        <v>catc</v>
      </c>
      <c r="AC1107" t="str">
        <f>("E78")</f>
        <v>E78</v>
      </c>
      <c r="AE1107" t="str">
        <f t="shared" si="439"/>
        <v>c.1</v>
      </c>
      <c r="AF1107" t="str">
        <f t="shared" ref="AF1107:AF1116" si="456">("1.可借圖書")</f>
        <v>1.可借圖書</v>
      </c>
      <c r="AG1107" t="str">
        <f t="shared" ref="AG1107:AG1116" si="457">("在架")</f>
        <v>在架</v>
      </c>
      <c r="AI1107" t="s">
        <v>65</v>
      </c>
      <c r="AK1107" t="str">
        <f t="shared" si="452"/>
        <v>一般(Normal)</v>
      </c>
      <c r="AO1107" t="s">
        <v>65</v>
      </c>
      <c r="AS1107" t="str">
        <f>("c1999.")</f>
        <v>c1999.</v>
      </c>
      <c r="AT1107" t="str">
        <f t="shared" si="453"/>
        <v>catc</v>
      </c>
    </row>
    <row r="1108" spans="2:46" x14ac:dyDescent="0.25">
      <c r="B1108" t="str">
        <f>("287664")</f>
        <v>287664</v>
      </c>
      <c r="C1108" t="str">
        <f>("W00003178")</f>
        <v>W00003178</v>
      </c>
      <c r="D1108" t="str">
        <f>("The woman's new selling game :how to sell yourself and anything else /")</f>
        <v>The woman's new selling game :how to sell yourself and anything else /</v>
      </c>
      <c r="E1108" t="str">
        <f>("Hyatt, Carole.")</f>
        <v>Hyatt, Carole.</v>
      </c>
      <c r="F1108" t="str">
        <f>("McGraw-Hill,")</f>
        <v>McGraw-Hill,</v>
      </c>
      <c r="H1108" t="str">
        <f t="shared" si="454"/>
        <v>圖書 book</v>
      </c>
      <c r="I1108" t="str">
        <f>("HF5438.25 H991 1998")</f>
        <v>HF5438.25 H991 1998</v>
      </c>
      <c r="J1108" t="str">
        <f>("007031828X")</f>
        <v>007031828X</v>
      </c>
      <c r="K1108" t="str">
        <f t="shared" si="450"/>
        <v>0</v>
      </c>
      <c r="L1108" t="str">
        <f t="shared" si="449"/>
        <v>2001/10/10 00:00:00</v>
      </c>
      <c r="M1108" t="str">
        <f>("2018/08/11 13:31:41")</f>
        <v>2018/08/11 13:31:41</v>
      </c>
      <c r="N1108" t="str">
        <f>("1998")</f>
        <v>1998</v>
      </c>
      <c r="O1108" t="str">
        <f t="shared" si="455"/>
        <v>4F西文書庫 4F Western Language Books</v>
      </c>
      <c r="P1108" t="s">
        <v>64</v>
      </c>
      <c r="W1108" t="str">
        <f t="shared" si="443"/>
        <v>美國國會圖書分類法</v>
      </c>
      <c r="Y1108" t="str">
        <f>("HF5438.25")</f>
        <v>HF5438.25</v>
      </c>
      <c r="Z1108" t="str">
        <f>("2018/08/11 13:31:41")</f>
        <v>2018/08/11 13:31:41</v>
      </c>
      <c r="AA1108" t="str">
        <f t="shared" si="451"/>
        <v>catc</v>
      </c>
      <c r="AC1108" t="str">
        <f>("H991")</f>
        <v>H991</v>
      </c>
      <c r="AE1108" t="str">
        <f t="shared" si="439"/>
        <v>c.1</v>
      </c>
      <c r="AF1108" t="str">
        <f t="shared" si="456"/>
        <v>1.可借圖書</v>
      </c>
      <c r="AG1108" t="str">
        <f t="shared" si="457"/>
        <v>在架</v>
      </c>
      <c r="AI1108" t="s">
        <v>65</v>
      </c>
      <c r="AK1108" t="str">
        <f t="shared" si="452"/>
        <v>一般(Normal)</v>
      </c>
      <c r="AO1108" t="s">
        <v>65</v>
      </c>
      <c r="AS1108" t="str">
        <f>("c1998.")</f>
        <v>c1998.</v>
      </c>
      <c r="AT1108" t="str">
        <f t="shared" si="453"/>
        <v>catc</v>
      </c>
    </row>
    <row r="1109" spans="2:46" x14ac:dyDescent="0.25">
      <c r="B1109" t="str">
        <f>("290504")</f>
        <v>290504</v>
      </c>
      <c r="C1109" t="str">
        <f>("W00003179")</f>
        <v>W00003179</v>
      </c>
      <c r="D1109" t="str">
        <f>("Asian business wisdom :lessons from the region's best and brightest business leaders /")</f>
        <v>Asian business wisdom :lessons from the region's best and brightest business leaders /</v>
      </c>
      <c r="E1109" t="str">
        <f>("Dayao, Dinna Louise C.")</f>
        <v>Dayao, Dinna Louise C.</v>
      </c>
      <c r="F1109" t="str">
        <f>("Wiley,")</f>
        <v>Wiley,</v>
      </c>
      <c r="H1109" t="str">
        <f t="shared" si="454"/>
        <v>圖書 book</v>
      </c>
      <c r="I1109" t="str">
        <f>("HD38.25.A78 A832 2000")</f>
        <v>HD38.25.A78 A832 2000</v>
      </c>
      <c r="J1109" t="str">
        <f>("0471837563")</f>
        <v>0471837563</v>
      </c>
      <c r="K1109" t="str">
        <f t="shared" si="450"/>
        <v>0</v>
      </c>
      <c r="L1109" t="str">
        <f>("2001/10/16 00:00:00")</f>
        <v>2001/10/16 00:00:00</v>
      </c>
      <c r="M1109" t="str">
        <f>("2018/08/11 13:36:30")</f>
        <v>2018/08/11 13:36:30</v>
      </c>
      <c r="N1109" t="str">
        <f>("2000")</f>
        <v>2000</v>
      </c>
      <c r="O1109" t="str">
        <f t="shared" si="455"/>
        <v>4F西文書庫 4F Western Language Books</v>
      </c>
      <c r="P1109" t="s">
        <v>64</v>
      </c>
      <c r="W1109" t="str">
        <f t="shared" si="443"/>
        <v>美國國會圖書分類法</v>
      </c>
      <c r="Y1109" t="str">
        <f>("HD38.25.A78")</f>
        <v>HD38.25.A78</v>
      </c>
      <c r="Z1109" t="str">
        <f>("2018/08/11 13:36:30")</f>
        <v>2018/08/11 13:36:30</v>
      </c>
      <c r="AA1109" t="str">
        <f t="shared" si="451"/>
        <v>catc</v>
      </c>
      <c r="AC1109" t="str">
        <f>("A832")</f>
        <v>A832</v>
      </c>
      <c r="AE1109" t="str">
        <f t="shared" si="439"/>
        <v>c.1</v>
      </c>
      <c r="AF1109" t="str">
        <f t="shared" si="456"/>
        <v>1.可借圖書</v>
      </c>
      <c r="AG1109" t="str">
        <f t="shared" si="457"/>
        <v>在架</v>
      </c>
      <c r="AI1109" t="s">
        <v>65</v>
      </c>
      <c r="AK1109" t="str">
        <f t="shared" si="452"/>
        <v>一般(Normal)</v>
      </c>
      <c r="AO1109" t="s">
        <v>65</v>
      </c>
      <c r="AS1109" t="str">
        <f>("c2000.")</f>
        <v>c2000.</v>
      </c>
      <c r="AT1109" t="str">
        <f t="shared" si="453"/>
        <v>catc</v>
      </c>
    </row>
    <row r="1110" spans="2:46" x14ac:dyDescent="0.25">
      <c r="B1110" t="str">
        <f>("287665")</f>
        <v>287665</v>
      </c>
      <c r="C1110" t="str">
        <f>("W00003180")</f>
        <v>W00003180</v>
      </c>
      <c r="D1110" t="str">
        <f>("Brand manners :how to create the self-confident organization to live the brand /")</f>
        <v>Brand manners :how to create the self-confident organization to live the brand /</v>
      </c>
      <c r="E1110" t="str">
        <f>("Pringle, Hamish.")</f>
        <v>Pringle, Hamish.</v>
      </c>
      <c r="F1110" t="str">
        <f>("John Wiley &amp; Sons,")</f>
        <v>John Wiley &amp; Sons,</v>
      </c>
      <c r="H1110" t="str">
        <f t="shared" si="454"/>
        <v>圖書 book</v>
      </c>
      <c r="I1110" t="str">
        <f>("HF5145 P957 2001")</f>
        <v>HF5145 P957 2001</v>
      </c>
      <c r="J1110" t="str">
        <f>("0471496065")</f>
        <v>0471496065</v>
      </c>
      <c r="K1110" t="str">
        <f t="shared" si="450"/>
        <v>0</v>
      </c>
      <c r="L1110" t="str">
        <f t="shared" ref="L1110:L1119" si="458">("2001/10/10 00:00:00")</f>
        <v>2001/10/10 00:00:00</v>
      </c>
      <c r="M1110" t="str">
        <f t="shared" ref="M1110:M1115" si="459">("2018/08/11 13:31:41")</f>
        <v>2018/08/11 13:31:41</v>
      </c>
      <c r="N1110" t="str">
        <f>("2001")</f>
        <v>2001</v>
      </c>
      <c r="O1110" t="str">
        <f t="shared" si="455"/>
        <v>4F西文書庫 4F Western Language Books</v>
      </c>
      <c r="P1110" t="s">
        <v>64</v>
      </c>
      <c r="W1110" t="str">
        <f t="shared" si="443"/>
        <v>美國國會圖書分類法</v>
      </c>
      <c r="Y1110" t="str">
        <f>("HF5145")</f>
        <v>HF5145</v>
      </c>
      <c r="Z1110" t="str">
        <f t="shared" ref="Z1110:Z1116" si="460">("2018/08/11 13:31:41")</f>
        <v>2018/08/11 13:31:41</v>
      </c>
      <c r="AA1110" t="str">
        <f t="shared" si="451"/>
        <v>catc</v>
      </c>
      <c r="AC1110" t="str">
        <f>("P957")</f>
        <v>P957</v>
      </c>
      <c r="AE1110" t="str">
        <f t="shared" si="439"/>
        <v>c.1</v>
      </c>
      <c r="AF1110" t="str">
        <f t="shared" si="456"/>
        <v>1.可借圖書</v>
      </c>
      <c r="AG1110" t="str">
        <f t="shared" si="457"/>
        <v>在架</v>
      </c>
      <c r="AI1110" t="s">
        <v>65</v>
      </c>
      <c r="AK1110" t="str">
        <f t="shared" si="452"/>
        <v>一般(Normal)</v>
      </c>
      <c r="AO1110" t="s">
        <v>65</v>
      </c>
      <c r="AS1110" t="str">
        <f>("c2001.")</f>
        <v>c2001.</v>
      </c>
      <c r="AT1110" t="str">
        <f t="shared" si="453"/>
        <v>catc</v>
      </c>
    </row>
    <row r="1111" spans="2:46" x14ac:dyDescent="0.25">
      <c r="B1111" t="str">
        <f>("287666")</f>
        <v>287666</v>
      </c>
      <c r="C1111" t="str">
        <f>("W00003181")</f>
        <v>W00003181</v>
      </c>
      <c r="D1111" t="str">
        <f>("Business process orientation :gaining the e-business competitive advantage /")</f>
        <v>Business process orientation :gaining the e-business competitive advantage /</v>
      </c>
      <c r="E1111" t="str">
        <f>("McCormack, Kevin.")</f>
        <v>McCormack, Kevin.</v>
      </c>
      <c r="F1111" t="str">
        <f>("St. Lucie Press,")</f>
        <v>St. Lucie Press,</v>
      </c>
      <c r="H1111" t="str">
        <f t="shared" si="454"/>
        <v>圖書 book</v>
      </c>
      <c r="I1111" t="str">
        <f>("HD30.2 M131 2000")</f>
        <v>HD30.2 M131 2000</v>
      </c>
      <c r="J1111" t="str">
        <f>("1574442945")</f>
        <v>1574442945</v>
      </c>
      <c r="K1111" t="str">
        <f t="shared" si="450"/>
        <v>0</v>
      </c>
      <c r="L1111" t="str">
        <f t="shared" si="458"/>
        <v>2001/10/10 00:00:00</v>
      </c>
      <c r="M1111" t="str">
        <f t="shared" si="459"/>
        <v>2018/08/11 13:31:41</v>
      </c>
      <c r="N1111" t="str">
        <f>("2000")</f>
        <v>2000</v>
      </c>
      <c r="O1111" t="str">
        <f t="shared" si="455"/>
        <v>4F西文書庫 4F Western Language Books</v>
      </c>
      <c r="P1111" t="s">
        <v>64</v>
      </c>
      <c r="W1111" t="str">
        <f t="shared" si="443"/>
        <v>美國國會圖書分類法</v>
      </c>
      <c r="Y1111" t="str">
        <f>("HD30.2")</f>
        <v>HD30.2</v>
      </c>
      <c r="Z1111" t="str">
        <f t="shared" si="460"/>
        <v>2018/08/11 13:31:41</v>
      </c>
      <c r="AA1111" t="str">
        <f t="shared" si="451"/>
        <v>catc</v>
      </c>
      <c r="AC1111" t="str">
        <f>("M131")</f>
        <v>M131</v>
      </c>
      <c r="AE1111" t="str">
        <f t="shared" si="439"/>
        <v>c.1</v>
      </c>
      <c r="AF1111" t="str">
        <f t="shared" si="456"/>
        <v>1.可借圖書</v>
      </c>
      <c r="AG1111" t="str">
        <f t="shared" si="457"/>
        <v>在架</v>
      </c>
      <c r="AI1111" t="s">
        <v>65</v>
      </c>
      <c r="AK1111" t="str">
        <f t="shared" si="452"/>
        <v>一般(Normal)</v>
      </c>
      <c r="AO1111" t="s">
        <v>65</v>
      </c>
      <c r="AS1111" t="str">
        <f>("2000.")</f>
        <v>2000.</v>
      </c>
      <c r="AT1111" t="str">
        <f t="shared" si="453"/>
        <v>catc</v>
      </c>
    </row>
    <row r="1112" spans="2:46" x14ac:dyDescent="0.25">
      <c r="B1112" t="str">
        <f>("287667")</f>
        <v>287667</v>
      </c>
      <c r="C1112" t="str">
        <f>("W00003182")</f>
        <v>W00003182</v>
      </c>
      <c r="D1112" t="str">
        <f>("Day trading on the edge :a look-before-you-leap guide to extreme investing /")</f>
        <v>Day trading on the edge :a look-before-you-leap guide to extreme investing /</v>
      </c>
      <c r="E1112" t="str">
        <f>("Masonson, Leslie N.")</f>
        <v>Masonson, Leslie N.</v>
      </c>
      <c r="F1112" t="str">
        <f>("AMACOM,")</f>
        <v>AMACOM,</v>
      </c>
      <c r="H1112" t="str">
        <f t="shared" si="454"/>
        <v>圖書 book</v>
      </c>
      <c r="I1112" t="str">
        <f>("HG4515.95 M412 2001")</f>
        <v>HG4515.95 M412 2001</v>
      </c>
      <c r="J1112" t="str">
        <f>("0814405738")</f>
        <v>0814405738</v>
      </c>
      <c r="K1112" t="str">
        <f t="shared" si="450"/>
        <v>0</v>
      </c>
      <c r="L1112" t="str">
        <f t="shared" si="458"/>
        <v>2001/10/10 00:00:00</v>
      </c>
      <c r="M1112" t="str">
        <f t="shared" si="459"/>
        <v>2018/08/11 13:31:41</v>
      </c>
      <c r="N1112" t="str">
        <f>("2001")</f>
        <v>2001</v>
      </c>
      <c r="O1112" t="str">
        <f t="shared" si="455"/>
        <v>4F西文書庫 4F Western Language Books</v>
      </c>
      <c r="P1112" t="s">
        <v>64</v>
      </c>
      <c r="W1112" t="str">
        <f t="shared" si="443"/>
        <v>美國國會圖書分類法</v>
      </c>
      <c r="Y1112" t="str">
        <f>("HG4515.95")</f>
        <v>HG4515.95</v>
      </c>
      <c r="Z1112" t="str">
        <f t="shared" si="460"/>
        <v>2018/08/11 13:31:41</v>
      </c>
      <c r="AA1112" t="str">
        <f t="shared" si="451"/>
        <v>catc</v>
      </c>
      <c r="AC1112" t="str">
        <f>("M412")</f>
        <v>M412</v>
      </c>
      <c r="AE1112" t="str">
        <f t="shared" si="439"/>
        <v>c.1</v>
      </c>
      <c r="AF1112" t="str">
        <f t="shared" si="456"/>
        <v>1.可借圖書</v>
      </c>
      <c r="AG1112" t="str">
        <f t="shared" si="457"/>
        <v>在架</v>
      </c>
      <c r="AI1112" t="s">
        <v>65</v>
      </c>
      <c r="AK1112" t="str">
        <f t="shared" si="452"/>
        <v>一般(Normal)</v>
      </c>
      <c r="AO1112" t="s">
        <v>65</v>
      </c>
      <c r="AS1112" t="str">
        <f>("c2001.")</f>
        <v>c2001.</v>
      </c>
      <c r="AT1112" t="str">
        <f t="shared" si="453"/>
        <v>catc</v>
      </c>
    </row>
    <row r="1113" spans="2:46" x14ac:dyDescent="0.25">
      <c r="B1113" t="str">
        <f>("287668")</f>
        <v>287668</v>
      </c>
      <c r="C1113" t="str">
        <f>("W00003183")</f>
        <v>W00003183</v>
      </c>
      <c r="D1113" t="str">
        <f>("Digital transformation :the essentials of e-business leadership /")</f>
        <v>Digital transformation :the essentials of e-business leadership /</v>
      </c>
      <c r="E1113" t="str">
        <f>("Patel, Keyur.")</f>
        <v>Patel, Keyur.</v>
      </c>
      <c r="F1113" t="str">
        <f>("KPMG/McGraw-Hill,")</f>
        <v>KPMG/McGraw-Hill,</v>
      </c>
      <c r="H1113" t="str">
        <f t="shared" si="454"/>
        <v>圖書 book</v>
      </c>
      <c r="I1113" t="str">
        <f>("HF5548.32 P295 2000")</f>
        <v>HF5548.32 P295 2000</v>
      </c>
      <c r="J1113" t="str">
        <f>("0071364080")</f>
        <v>0071364080</v>
      </c>
      <c r="K1113" t="str">
        <f t="shared" si="450"/>
        <v>0</v>
      </c>
      <c r="L1113" t="str">
        <f t="shared" si="458"/>
        <v>2001/10/10 00:00:00</v>
      </c>
      <c r="M1113" t="str">
        <f t="shared" si="459"/>
        <v>2018/08/11 13:31:41</v>
      </c>
      <c r="N1113" t="str">
        <f>("2000")</f>
        <v>2000</v>
      </c>
      <c r="O1113" t="str">
        <f t="shared" si="455"/>
        <v>4F西文書庫 4F Western Language Books</v>
      </c>
      <c r="P1113" t="s">
        <v>64</v>
      </c>
      <c r="W1113" t="str">
        <f t="shared" si="443"/>
        <v>美國國會圖書分類法</v>
      </c>
      <c r="Y1113" t="str">
        <f>("HF5548.32")</f>
        <v>HF5548.32</v>
      </c>
      <c r="Z1113" t="str">
        <f t="shared" si="460"/>
        <v>2018/08/11 13:31:41</v>
      </c>
      <c r="AA1113" t="str">
        <f t="shared" si="451"/>
        <v>catc</v>
      </c>
      <c r="AC1113" t="str">
        <f>("P295")</f>
        <v>P295</v>
      </c>
      <c r="AE1113" t="str">
        <f t="shared" si="439"/>
        <v>c.1</v>
      </c>
      <c r="AF1113" t="str">
        <f t="shared" si="456"/>
        <v>1.可借圖書</v>
      </c>
      <c r="AG1113" t="str">
        <f t="shared" si="457"/>
        <v>在架</v>
      </c>
      <c r="AI1113" t="s">
        <v>65</v>
      </c>
      <c r="AK1113" t="str">
        <f t="shared" si="452"/>
        <v>一般(Normal)</v>
      </c>
      <c r="AO1113" t="s">
        <v>65</v>
      </c>
      <c r="AS1113" t="str">
        <f>("c2000.")</f>
        <v>c2000.</v>
      </c>
      <c r="AT1113" t="str">
        <f t="shared" si="453"/>
        <v>catc</v>
      </c>
    </row>
    <row r="1114" spans="2:46" x14ac:dyDescent="0.25">
      <c r="B1114" t="str">
        <f>("287669")</f>
        <v>287669</v>
      </c>
      <c r="C1114" t="str">
        <f>("W00003184")</f>
        <v>W00003184</v>
      </c>
      <c r="D1114" t="str">
        <f>("eBay the smart way :selling, buying, and profiting on the Web's #1 auction site /")</f>
        <v>eBay the smart way :selling, buying, and profiting on the Web's #1 auction site /</v>
      </c>
      <c r="E1114" t="str">
        <f>("Sinclair, Joseph T.")</f>
        <v>Sinclair, Joseph T.</v>
      </c>
      <c r="F1114" t="str">
        <f>("AMACOM,")</f>
        <v>AMACOM,</v>
      </c>
      <c r="G1114" t="str">
        <f>("2nd ed.")</f>
        <v>2nd ed.</v>
      </c>
      <c r="H1114" t="str">
        <f t="shared" si="454"/>
        <v>圖書 book</v>
      </c>
      <c r="I1114" t="str">
        <f>("HF5478 S616 2001")</f>
        <v>HF5478 S616 2001</v>
      </c>
      <c r="J1114" t="str">
        <f>("0814471188")</f>
        <v>0814471188</v>
      </c>
      <c r="K1114" t="str">
        <f t="shared" si="450"/>
        <v>0</v>
      </c>
      <c r="L1114" t="str">
        <f t="shared" si="458"/>
        <v>2001/10/10 00:00:00</v>
      </c>
      <c r="M1114" t="str">
        <f t="shared" si="459"/>
        <v>2018/08/11 13:31:41</v>
      </c>
      <c r="N1114" t="str">
        <f>("2001")</f>
        <v>2001</v>
      </c>
      <c r="O1114" t="str">
        <f t="shared" si="455"/>
        <v>4F西文書庫 4F Western Language Books</v>
      </c>
      <c r="P1114" t="s">
        <v>64</v>
      </c>
      <c r="W1114" t="str">
        <f t="shared" si="443"/>
        <v>美國國會圖書分類法</v>
      </c>
      <c r="Y1114" t="str">
        <f>("HF5478")</f>
        <v>HF5478</v>
      </c>
      <c r="Z1114" t="str">
        <f t="shared" si="460"/>
        <v>2018/08/11 13:31:41</v>
      </c>
      <c r="AA1114" t="str">
        <f t="shared" si="451"/>
        <v>catc</v>
      </c>
      <c r="AC1114" t="str">
        <f>("S616")</f>
        <v>S616</v>
      </c>
      <c r="AE1114" t="str">
        <f t="shared" si="439"/>
        <v>c.1</v>
      </c>
      <c r="AF1114" t="str">
        <f t="shared" si="456"/>
        <v>1.可借圖書</v>
      </c>
      <c r="AG1114" t="str">
        <f t="shared" si="457"/>
        <v>在架</v>
      </c>
      <c r="AI1114" t="s">
        <v>65</v>
      </c>
      <c r="AK1114" t="str">
        <f t="shared" si="452"/>
        <v>一般(Normal)</v>
      </c>
      <c r="AO1114" t="s">
        <v>65</v>
      </c>
      <c r="AS1114" t="str">
        <f>("2001.")</f>
        <v>2001.</v>
      </c>
      <c r="AT1114" t="str">
        <f t="shared" si="453"/>
        <v>catc</v>
      </c>
    </row>
    <row r="1115" spans="2:46" x14ac:dyDescent="0.25">
      <c r="B1115" t="str">
        <f>("287670")</f>
        <v>287670</v>
      </c>
      <c r="C1115" t="str">
        <f>("W00003185")</f>
        <v>W00003185</v>
      </c>
      <c r="D1115" t="str">
        <f>("Fundamentals of the stock market /")</f>
        <v>Fundamentals of the stock market /</v>
      </c>
      <c r="E1115" t="str">
        <f>("Wyss, O'Neill.;Wyss, B. O'Neill.")</f>
        <v>Wyss, O'Neill.;Wyss, B. O'Neill.</v>
      </c>
      <c r="F1115" t="str">
        <f>("McGraw-Hill,")</f>
        <v>McGraw-Hill,</v>
      </c>
      <c r="H1115" t="str">
        <f t="shared" si="454"/>
        <v>圖書 book</v>
      </c>
      <c r="I1115" t="str">
        <f>("HG4910 W995 2001")</f>
        <v>HG4910 W995 2001</v>
      </c>
      <c r="J1115" t="str">
        <f>("0071360964")</f>
        <v>0071360964</v>
      </c>
      <c r="K1115" t="str">
        <f t="shared" si="450"/>
        <v>0</v>
      </c>
      <c r="L1115" t="str">
        <f t="shared" si="458"/>
        <v>2001/10/10 00:00:00</v>
      </c>
      <c r="M1115" t="str">
        <f t="shared" si="459"/>
        <v>2018/08/11 13:31:41</v>
      </c>
      <c r="N1115" t="str">
        <f>("2001")</f>
        <v>2001</v>
      </c>
      <c r="O1115" t="str">
        <f t="shared" si="455"/>
        <v>4F西文書庫 4F Western Language Books</v>
      </c>
      <c r="P1115" t="s">
        <v>64</v>
      </c>
      <c r="W1115" t="str">
        <f t="shared" si="443"/>
        <v>美國國會圖書分類法</v>
      </c>
      <c r="Y1115" t="str">
        <f>("HG4910")</f>
        <v>HG4910</v>
      </c>
      <c r="Z1115" t="str">
        <f t="shared" si="460"/>
        <v>2018/08/11 13:31:41</v>
      </c>
      <c r="AA1115" t="str">
        <f t="shared" si="451"/>
        <v>catc</v>
      </c>
      <c r="AC1115" t="str">
        <f>("W995")</f>
        <v>W995</v>
      </c>
      <c r="AE1115" t="str">
        <f t="shared" si="439"/>
        <v>c.1</v>
      </c>
      <c r="AF1115" t="str">
        <f t="shared" si="456"/>
        <v>1.可借圖書</v>
      </c>
      <c r="AG1115" t="str">
        <f t="shared" si="457"/>
        <v>在架</v>
      </c>
      <c r="AI1115" t="s">
        <v>65</v>
      </c>
      <c r="AK1115" t="str">
        <f t="shared" si="452"/>
        <v>一般(Normal)</v>
      </c>
      <c r="AO1115" t="s">
        <v>65</v>
      </c>
      <c r="AS1115" t="str">
        <f>("c2001.")</f>
        <v>c2001.</v>
      </c>
      <c r="AT1115" t="str">
        <f t="shared" si="453"/>
        <v>catc</v>
      </c>
    </row>
    <row r="1116" spans="2:46" x14ac:dyDescent="0.25">
      <c r="B1116" t="str">
        <f>("287657")</f>
        <v>287657</v>
      </c>
      <c r="C1116" t="str">
        <f>("W00003186")</f>
        <v>W00003186</v>
      </c>
      <c r="D1116" t="str">
        <f>("Get better or get beaten :29 leadership secrets from GE's Jack Welch /")</f>
        <v>Get better or get beaten :29 leadership secrets from GE's Jack Welch /</v>
      </c>
      <c r="E1116" t="str">
        <f>("Slater, Robert,1943-")</f>
        <v>Slater, Robert,1943-</v>
      </c>
      <c r="F1116" t="str">
        <f>("McGraw-Hill,")</f>
        <v>McGraw-Hill,</v>
      </c>
      <c r="G1116" t="str">
        <f>("2nd ed.")</f>
        <v>2nd ed.</v>
      </c>
      <c r="H1116" t="str">
        <f t="shared" si="454"/>
        <v>圖書 book</v>
      </c>
      <c r="I1116" t="str">
        <f>("HD57.7 S631 2001")</f>
        <v>HD57.7 S631 2001</v>
      </c>
      <c r="J1116" t="str">
        <f>("0071373462")</f>
        <v>0071373462</v>
      </c>
      <c r="K1116" t="str">
        <f t="shared" si="450"/>
        <v>0</v>
      </c>
      <c r="L1116" t="str">
        <f t="shared" si="458"/>
        <v>2001/10/10 00:00:00</v>
      </c>
      <c r="M1116" t="str">
        <f>("2018/08/11 13:31:42")</f>
        <v>2018/08/11 13:31:42</v>
      </c>
      <c r="N1116" t="str">
        <f>("2001")</f>
        <v>2001</v>
      </c>
      <c r="O1116" t="str">
        <f t="shared" si="455"/>
        <v>4F西文書庫 4F Western Language Books</v>
      </c>
      <c r="P1116" t="s">
        <v>64</v>
      </c>
      <c r="W1116" t="str">
        <f t="shared" si="443"/>
        <v>美國國會圖書分類法</v>
      </c>
      <c r="Y1116" t="str">
        <f>("HD57.7")</f>
        <v>HD57.7</v>
      </c>
      <c r="Z1116" t="str">
        <f t="shared" si="460"/>
        <v>2018/08/11 13:31:41</v>
      </c>
      <c r="AA1116" t="str">
        <f t="shared" si="451"/>
        <v>catc</v>
      </c>
      <c r="AC1116" t="str">
        <f>("S631")</f>
        <v>S631</v>
      </c>
      <c r="AE1116" t="str">
        <f t="shared" si="439"/>
        <v>c.1</v>
      </c>
      <c r="AF1116" t="str">
        <f t="shared" si="456"/>
        <v>1.可借圖書</v>
      </c>
      <c r="AG1116" t="str">
        <f t="shared" si="457"/>
        <v>在架</v>
      </c>
      <c r="AI1116" t="s">
        <v>65</v>
      </c>
      <c r="AK1116" t="str">
        <f t="shared" si="452"/>
        <v>一般(Normal)</v>
      </c>
      <c r="AO1116" t="s">
        <v>65</v>
      </c>
      <c r="AS1116" t="str">
        <f>("2001.")</f>
        <v>2001.</v>
      </c>
      <c r="AT1116" t="str">
        <f t="shared" si="453"/>
        <v>catc</v>
      </c>
    </row>
    <row r="1117" spans="2:46" x14ac:dyDescent="0.25">
      <c r="B1117" t="str">
        <f>("287995")</f>
        <v>287995</v>
      </c>
      <c r="C1117" t="str">
        <f>("W00003187")</f>
        <v>W00003187</v>
      </c>
      <c r="D1117" t="str">
        <f>("Getting started in bonds / ")</f>
        <v xml:space="preserve">Getting started in bonds / </v>
      </c>
      <c r="E1117" t="str">
        <f>("Wright, Sharon Saltzgiver, 1961- ")</f>
        <v xml:space="preserve">Wright, Sharon Saltzgiver, 1961- </v>
      </c>
      <c r="F1117" t="str">
        <f>("J. Wiley, ")</f>
        <v xml:space="preserve">J. Wiley, </v>
      </c>
      <c r="H1117" t="str">
        <f t="shared" si="454"/>
        <v>圖書 book</v>
      </c>
      <c r="I1117" t="str">
        <f>("HG4651 W947 1999 c.3")</f>
        <v>HG4651 W947 1999 c.3</v>
      </c>
      <c r="J1117" t="str">
        <f>("0471323772")</f>
        <v>0471323772</v>
      </c>
      <c r="K1117" t="str">
        <f t="shared" si="450"/>
        <v>0</v>
      </c>
      <c r="L1117" t="str">
        <f t="shared" si="458"/>
        <v>2001/10/10 00:00:00</v>
      </c>
      <c r="M1117" t="str">
        <f>("2018/08/11 13:32:14")</f>
        <v>2018/08/11 13:32:14</v>
      </c>
      <c r="N1117" t="str">
        <f>("1999")</f>
        <v>1999</v>
      </c>
      <c r="O1117" t="str">
        <f>("罕用書庫1-洽櫃台填單 Upon-Request Collection1 fil")</f>
        <v>罕用書庫1-洽櫃台填單 Upon-Request Collection1 fil</v>
      </c>
      <c r="P1117" t="s">
        <v>64</v>
      </c>
      <c r="S1117" t="str">
        <f>("xii, 260 p. : ")</f>
        <v xml:space="preserve">xii, 260 p. : </v>
      </c>
      <c r="T1117" t="str">
        <f>("ill. ; ")</f>
        <v xml:space="preserve">ill. ; </v>
      </c>
      <c r="U1117" t="str">
        <f>("24 cm. ")</f>
        <v xml:space="preserve">24 cm. </v>
      </c>
      <c r="W1117" t="str">
        <f t="shared" si="443"/>
        <v>美國國會圖書分類法</v>
      </c>
      <c r="Y1117" t="str">
        <f>("HG4651")</f>
        <v>HG4651</v>
      </c>
      <c r="Z1117" t="str">
        <f>("2018/08/11 13:32:14")</f>
        <v>2018/08/11 13:32:14</v>
      </c>
      <c r="AA1117" t="str">
        <f t="shared" si="451"/>
        <v>catc</v>
      </c>
      <c r="AC1117" t="str">
        <f>("W947")</f>
        <v>W947</v>
      </c>
      <c r="AE1117" t="str">
        <f>("c.3")</f>
        <v>c.3</v>
      </c>
      <c r="AF1117" t="str">
        <f>("不流通")</f>
        <v>不流通</v>
      </c>
      <c r="AG1117" t="str">
        <f>("報銷中")</f>
        <v>報銷中</v>
      </c>
      <c r="AI1117" t="s">
        <v>65</v>
      </c>
      <c r="AK1117" t="str">
        <f t="shared" si="452"/>
        <v>一般(Normal)</v>
      </c>
      <c r="AO1117" t="s">
        <v>65</v>
      </c>
      <c r="AS1117" t="str">
        <f>("c1999. ")</f>
        <v xml:space="preserve">c1999. </v>
      </c>
      <c r="AT1117" t="str">
        <f t="shared" si="453"/>
        <v>catc</v>
      </c>
    </row>
    <row r="1118" spans="2:46" x14ac:dyDescent="0.25">
      <c r="B1118" t="str">
        <f>("287671")</f>
        <v>287671</v>
      </c>
      <c r="C1118" t="str">
        <f>("W00003188")</f>
        <v>W00003188</v>
      </c>
      <c r="D1118" t="str">
        <f>("The inner work of leaders :leadership as a habit of mind /")</f>
        <v>The inner work of leaders :leadership as a habit of mind /</v>
      </c>
      <c r="E1118" t="str">
        <f>("Mackoff, Barbara.")</f>
        <v>Mackoff, Barbara.</v>
      </c>
      <c r="F1118" t="str">
        <f>("AMACOM,")</f>
        <v>AMACOM,</v>
      </c>
      <c r="H1118" t="str">
        <f t="shared" si="454"/>
        <v>圖書 book</v>
      </c>
      <c r="I1118" t="str">
        <f>("HD57.7 M159 2001")</f>
        <v>HD57.7 M159 2001</v>
      </c>
      <c r="J1118" t="str">
        <f>("0814405908")</f>
        <v>0814405908</v>
      </c>
      <c r="K1118" t="str">
        <f t="shared" si="450"/>
        <v>0</v>
      </c>
      <c r="L1118" t="str">
        <f t="shared" si="458"/>
        <v>2001/10/10 00:00:00</v>
      </c>
      <c r="M1118" t="str">
        <f>("2018/08/11 13:31:42")</f>
        <v>2018/08/11 13:31:42</v>
      </c>
      <c r="N1118" t="str">
        <f>("2001")</f>
        <v>2001</v>
      </c>
      <c r="O1118" t="str">
        <f t="shared" ref="O1118:O1129" si="461">("4F西文書庫 4F Western Language Books")</f>
        <v>4F西文書庫 4F Western Language Books</v>
      </c>
      <c r="P1118" t="s">
        <v>64</v>
      </c>
      <c r="W1118" t="str">
        <f t="shared" si="443"/>
        <v>美國國會圖書分類法</v>
      </c>
      <c r="Y1118" t="str">
        <f>("HD57.7")</f>
        <v>HD57.7</v>
      </c>
      <c r="Z1118" t="str">
        <f>("2018/08/11 13:31:42")</f>
        <v>2018/08/11 13:31:42</v>
      </c>
      <c r="AA1118" t="str">
        <f t="shared" si="451"/>
        <v>catc</v>
      </c>
      <c r="AC1118" t="str">
        <f>("M159")</f>
        <v>M159</v>
      </c>
      <c r="AE1118" t="str">
        <f t="shared" ref="AE1118:AE1181" si="462">("c.1")</f>
        <v>c.1</v>
      </c>
      <c r="AF1118" t="str">
        <f t="shared" ref="AF1118:AF1129" si="463">("1.可借圖書")</f>
        <v>1.可借圖書</v>
      </c>
      <c r="AG1118" t="str">
        <f t="shared" ref="AG1118:AG1129" si="464">("在架")</f>
        <v>在架</v>
      </c>
      <c r="AI1118" t="s">
        <v>65</v>
      </c>
      <c r="AK1118" t="str">
        <f t="shared" si="452"/>
        <v>一般(Normal)</v>
      </c>
      <c r="AO1118" t="s">
        <v>65</v>
      </c>
      <c r="AS1118" t="str">
        <f>("c2001.")</f>
        <v>c2001.</v>
      </c>
      <c r="AT1118" t="str">
        <f t="shared" si="453"/>
        <v>catc</v>
      </c>
    </row>
    <row r="1119" spans="2:46" x14ac:dyDescent="0.25">
      <c r="B1119" t="str">
        <f>("287672")</f>
        <v>287672</v>
      </c>
      <c r="C1119" t="str">
        <f>("W00003189")</f>
        <v>W00003189</v>
      </c>
      <c r="D1119" t="str">
        <f>("Jack Welch and the GE way :management insights and leadership secrets of the legendary CEO /")</f>
        <v>Jack Welch and the GE way :management insights and leadership secrets of the legendary CEO /</v>
      </c>
      <c r="E1119" t="str">
        <f>("Slater, Robert,1943-")</f>
        <v>Slater, Robert,1943-</v>
      </c>
      <c r="F1119" t="str">
        <f>("McGraw-Hill,")</f>
        <v>McGraw-Hill,</v>
      </c>
      <c r="H1119" t="str">
        <f t="shared" si="454"/>
        <v>圖書 book</v>
      </c>
      <c r="I1119" t="str">
        <f>("HD9697.A3 S631 1999")</f>
        <v>HD9697.A3 S631 1999</v>
      </c>
      <c r="J1119" t="str">
        <f>("0070581045")</f>
        <v>0070581045</v>
      </c>
      <c r="K1119" t="str">
        <f t="shared" si="450"/>
        <v>0</v>
      </c>
      <c r="L1119" t="str">
        <f t="shared" si="458"/>
        <v>2001/10/10 00:00:00</v>
      </c>
      <c r="M1119" t="str">
        <f>("2018/08/11 13:31:42")</f>
        <v>2018/08/11 13:31:42</v>
      </c>
      <c r="N1119" t="str">
        <f>("1999")</f>
        <v>1999</v>
      </c>
      <c r="O1119" t="str">
        <f t="shared" si="461"/>
        <v>4F西文書庫 4F Western Language Books</v>
      </c>
      <c r="P1119" t="s">
        <v>64</v>
      </c>
      <c r="W1119" t="str">
        <f t="shared" si="443"/>
        <v>美國國會圖書分類法</v>
      </c>
      <c r="Y1119" t="str">
        <f>("HD9697.A3")</f>
        <v>HD9697.A3</v>
      </c>
      <c r="Z1119" t="str">
        <f>("2018/08/11 13:31:42")</f>
        <v>2018/08/11 13:31:42</v>
      </c>
      <c r="AA1119" t="str">
        <f t="shared" si="451"/>
        <v>catc</v>
      </c>
      <c r="AC1119" t="str">
        <f>("S631")</f>
        <v>S631</v>
      </c>
      <c r="AE1119" t="str">
        <f t="shared" si="462"/>
        <v>c.1</v>
      </c>
      <c r="AF1119" t="str">
        <f t="shared" si="463"/>
        <v>1.可借圖書</v>
      </c>
      <c r="AG1119" t="str">
        <f t="shared" si="464"/>
        <v>在架</v>
      </c>
      <c r="AI1119" t="s">
        <v>65</v>
      </c>
      <c r="AK1119" t="str">
        <f t="shared" si="452"/>
        <v>一般(Normal)</v>
      </c>
      <c r="AO1119" t="s">
        <v>65</v>
      </c>
      <c r="AS1119" t="str">
        <f>("c1999.")</f>
        <v>c1999.</v>
      </c>
      <c r="AT1119" t="str">
        <f t="shared" si="453"/>
        <v>catc</v>
      </c>
    </row>
    <row r="1120" spans="2:46" x14ac:dyDescent="0.25">
      <c r="B1120" t="str">
        <f>("290505")</f>
        <v>290505</v>
      </c>
      <c r="C1120" t="str">
        <f>("W00003190")</f>
        <v>W00003190</v>
      </c>
      <c r="D1120" t="str">
        <f>("Leader to leader :enduring insights on leadership from the Drucker Foundation's award-winning journal /")</f>
        <v>Leader to leader :enduring insights on leadership from the Drucker Foundation's award-winning journal /</v>
      </c>
      <c r="E1120" t="str">
        <f>("Hesselbein, Frances.;Cohen, Paul M.,1951-")</f>
        <v>Hesselbein, Frances.;Cohen, Paul M.,1951-</v>
      </c>
      <c r="F1120" t="str">
        <f>("Jossey-Bass,")</f>
        <v>Jossey-Bass,</v>
      </c>
      <c r="H1120" t="str">
        <f t="shared" si="454"/>
        <v>圖書 book</v>
      </c>
      <c r="I1120" t="str">
        <f>("HM141 L434 1999")</f>
        <v>HM141 L434 1999</v>
      </c>
      <c r="J1120" t="str">
        <f>("0787947261")</f>
        <v>0787947261</v>
      </c>
      <c r="K1120" t="str">
        <f t="shared" si="450"/>
        <v>0</v>
      </c>
      <c r="L1120" t="str">
        <f>("2001/10/16 00:00:00")</f>
        <v>2001/10/16 00:00:00</v>
      </c>
      <c r="M1120" t="str">
        <f>("2018/08/11 13:36:30")</f>
        <v>2018/08/11 13:36:30</v>
      </c>
      <c r="N1120" t="str">
        <f>("1999")</f>
        <v>1999</v>
      </c>
      <c r="O1120" t="str">
        <f t="shared" si="461"/>
        <v>4F西文書庫 4F Western Language Books</v>
      </c>
      <c r="P1120" t="s">
        <v>64</v>
      </c>
      <c r="W1120" t="str">
        <f t="shared" si="443"/>
        <v>美國國會圖書分類法</v>
      </c>
      <c r="Y1120" t="str">
        <f>("HM141")</f>
        <v>HM141</v>
      </c>
      <c r="Z1120" t="str">
        <f>("2018/08/11 13:36:30")</f>
        <v>2018/08/11 13:36:30</v>
      </c>
      <c r="AA1120" t="str">
        <f t="shared" si="451"/>
        <v>catc</v>
      </c>
      <c r="AC1120" t="str">
        <f>("L434")</f>
        <v>L434</v>
      </c>
      <c r="AE1120" t="str">
        <f t="shared" si="462"/>
        <v>c.1</v>
      </c>
      <c r="AF1120" t="str">
        <f t="shared" si="463"/>
        <v>1.可借圖書</v>
      </c>
      <c r="AG1120" t="str">
        <f t="shared" si="464"/>
        <v>在架</v>
      </c>
      <c r="AI1120" t="s">
        <v>65</v>
      </c>
      <c r="AK1120" t="str">
        <f t="shared" si="452"/>
        <v>一般(Normal)</v>
      </c>
      <c r="AO1120" t="s">
        <v>65</v>
      </c>
      <c r="AS1120" t="str">
        <f>("c1999.")</f>
        <v>c1999.</v>
      </c>
      <c r="AT1120" t="str">
        <f t="shared" si="453"/>
        <v>catc</v>
      </c>
    </row>
    <row r="1121" spans="2:46" x14ac:dyDescent="0.25">
      <c r="B1121" t="str">
        <f>("287673")</f>
        <v>287673</v>
      </c>
      <c r="C1121" t="str">
        <f>("W00003191")</f>
        <v>W00003191</v>
      </c>
      <c r="D1121" t="str">
        <f>("Leading at the speed of change :using new economy rules to transform old-economy companies /")</f>
        <v>Leading at the speed of change :using new economy rules to transform old-economy companies /</v>
      </c>
      <c r="E1121" t="str">
        <f>("Capodagli, Bill,1948-")</f>
        <v>Capodagli, Bill,1948-</v>
      </c>
      <c r="F1121" t="str">
        <f>("McGraw-Hill,")</f>
        <v>McGraw-Hill,</v>
      </c>
      <c r="H1121" t="str">
        <f t="shared" si="454"/>
        <v>圖書 book</v>
      </c>
      <c r="I1121" t="str">
        <f>("HD69.S8 C245 2001")</f>
        <v>HD69.S8 C245 2001</v>
      </c>
      <c r="J1121" t="str">
        <f>("007137079X")</f>
        <v>007137079X</v>
      </c>
      <c r="K1121" t="str">
        <f t="shared" si="450"/>
        <v>0</v>
      </c>
      <c r="L1121" t="str">
        <f t="shared" ref="L1121:L1137" si="465">("2001/10/10 00:00:00")</f>
        <v>2001/10/10 00:00:00</v>
      </c>
      <c r="M1121" t="str">
        <f t="shared" ref="M1121:M1126" si="466">("2018/08/11 13:31:42")</f>
        <v>2018/08/11 13:31:42</v>
      </c>
      <c r="N1121" t="str">
        <f>("2001")</f>
        <v>2001</v>
      </c>
      <c r="O1121" t="str">
        <f t="shared" si="461"/>
        <v>4F西文書庫 4F Western Language Books</v>
      </c>
      <c r="P1121" t="s">
        <v>64</v>
      </c>
      <c r="W1121" t="str">
        <f t="shared" si="443"/>
        <v>美國國會圖書分類法</v>
      </c>
      <c r="Y1121" t="str">
        <f>("HD69.S8")</f>
        <v>HD69.S8</v>
      </c>
      <c r="Z1121" t="str">
        <f t="shared" ref="Z1121:Z1127" si="467">("2018/08/11 13:31:42")</f>
        <v>2018/08/11 13:31:42</v>
      </c>
      <c r="AA1121" t="str">
        <f t="shared" si="451"/>
        <v>catc</v>
      </c>
      <c r="AC1121" t="str">
        <f>("C245")</f>
        <v>C245</v>
      </c>
      <c r="AE1121" t="str">
        <f t="shared" si="462"/>
        <v>c.1</v>
      </c>
      <c r="AF1121" t="str">
        <f t="shared" si="463"/>
        <v>1.可借圖書</v>
      </c>
      <c r="AG1121" t="str">
        <f t="shared" si="464"/>
        <v>在架</v>
      </c>
      <c r="AI1121" t="s">
        <v>65</v>
      </c>
      <c r="AK1121" t="str">
        <f t="shared" si="452"/>
        <v>一般(Normal)</v>
      </c>
      <c r="AO1121" t="s">
        <v>65</v>
      </c>
      <c r="AS1121" t="str">
        <f>("2001.")</f>
        <v>2001.</v>
      </c>
      <c r="AT1121" t="str">
        <f t="shared" si="453"/>
        <v>catc</v>
      </c>
    </row>
    <row r="1122" spans="2:46" x14ac:dyDescent="0.25">
      <c r="B1122" t="str">
        <f>("287674")</f>
        <v>287674</v>
      </c>
      <c r="C1122" t="str">
        <f>("W00003192")</f>
        <v>W00003192</v>
      </c>
      <c r="D1122" t="str">
        <f>("Leading at the edge :leadership lessons from the  extraordinary saga of Shackleton's Antarctic expedition /")</f>
        <v>Leading at the edge :leadership lessons from the  extraordinary saga of Shackleton's Antarctic expedition /</v>
      </c>
      <c r="E1122" t="str">
        <f>("Perkins, Dennis N. T.,1942-")</f>
        <v>Perkins, Dennis N. T.,1942-</v>
      </c>
      <c r="F1122" t="str">
        <f>("Amacom,")</f>
        <v>Amacom,</v>
      </c>
      <c r="H1122" t="str">
        <f t="shared" si="454"/>
        <v>圖書 book</v>
      </c>
      <c r="I1122" t="str">
        <f>("HD57.7 P448 2000")</f>
        <v>HD57.7 P448 2000</v>
      </c>
      <c r="J1122" t="str">
        <f>("0814405436")</f>
        <v>0814405436</v>
      </c>
      <c r="K1122" t="str">
        <f t="shared" si="450"/>
        <v>0</v>
      </c>
      <c r="L1122" t="str">
        <f t="shared" si="465"/>
        <v>2001/10/10 00:00:00</v>
      </c>
      <c r="M1122" t="str">
        <f t="shared" si="466"/>
        <v>2018/08/11 13:31:42</v>
      </c>
      <c r="N1122" t="str">
        <f>("2000")</f>
        <v>2000</v>
      </c>
      <c r="O1122" t="str">
        <f t="shared" si="461"/>
        <v>4F西文書庫 4F Western Language Books</v>
      </c>
      <c r="P1122" t="s">
        <v>64</v>
      </c>
      <c r="W1122" t="str">
        <f t="shared" si="443"/>
        <v>美國國會圖書分類法</v>
      </c>
      <c r="Y1122" t="str">
        <f>("HD57.7")</f>
        <v>HD57.7</v>
      </c>
      <c r="Z1122" t="str">
        <f t="shared" si="467"/>
        <v>2018/08/11 13:31:42</v>
      </c>
      <c r="AA1122" t="str">
        <f t="shared" si="451"/>
        <v>catc</v>
      </c>
      <c r="AC1122" t="str">
        <f>("P448")</f>
        <v>P448</v>
      </c>
      <c r="AE1122" t="str">
        <f t="shared" si="462"/>
        <v>c.1</v>
      </c>
      <c r="AF1122" t="str">
        <f t="shared" si="463"/>
        <v>1.可借圖書</v>
      </c>
      <c r="AG1122" t="str">
        <f t="shared" si="464"/>
        <v>在架</v>
      </c>
      <c r="AI1122" t="s">
        <v>65</v>
      </c>
      <c r="AK1122" t="str">
        <f t="shared" si="452"/>
        <v>一般(Normal)</v>
      </c>
      <c r="AO1122" t="s">
        <v>65</v>
      </c>
      <c r="AS1122" t="str">
        <f>("c2000.")</f>
        <v>c2000.</v>
      </c>
      <c r="AT1122" t="str">
        <f t="shared" si="453"/>
        <v>catc</v>
      </c>
    </row>
    <row r="1123" spans="2:46" x14ac:dyDescent="0.25">
      <c r="B1123" t="str">
        <f>("287658")</f>
        <v>287658</v>
      </c>
      <c r="C1123" t="str">
        <f>("W00003193")</f>
        <v>W00003193</v>
      </c>
      <c r="D1123" t="str">
        <f>("NetValue :valuing dot-com companies : uncovering the reality behind the hype /")</f>
        <v>NetValue :valuing dot-com companies : uncovering the reality behind the hype /</v>
      </c>
      <c r="E1123" t="str">
        <f>("Clark, Peter J.,1950-")</f>
        <v>Clark, Peter J.,1950-</v>
      </c>
      <c r="F1123" t="str">
        <f>("AMACOM,")</f>
        <v>AMACOM,</v>
      </c>
      <c r="H1123" t="str">
        <f t="shared" si="454"/>
        <v>圖書 book</v>
      </c>
      <c r="I1123" t="str">
        <f>("HG4028.V3 C594 2000")</f>
        <v>HG4028.V3 C594 2000</v>
      </c>
      <c r="J1123" t="str">
        <f>("0814406041")</f>
        <v>0814406041</v>
      </c>
      <c r="K1123" t="str">
        <f t="shared" si="450"/>
        <v>0</v>
      </c>
      <c r="L1123" t="str">
        <f t="shared" si="465"/>
        <v>2001/10/10 00:00:00</v>
      </c>
      <c r="M1123" t="str">
        <f t="shared" si="466"/>
        <v>2018/08/11 13:31:42</v>
      </c>
      <c r="N1123" t="str">
        <f>("2000")</f>
        <v>2000</v>
      </c>
      <c r="O1123" t="str">
        <f t="shared" si="461"/>
        <v>4F西文書庫 4F Western Language Books</v>
      </c>
      <c r="P1123" t="s">
        <v>64</v>
      </c>
      <c r="W1123" t="str">
        <f t="shared" si="443"/>
        <v>美國國會圖書分類法</v>
      </c>
      <c r="Y1123" t="str">
        <f>("HG4028.V3")</f>
        <v>HG4028.V3</v>
      </c>
      <c r="Z1123" t="str">
        <f t="shared" si="467"/>
        <v>2018/08/11 13:31:42</v>
      </c>
      <c r="AA1123" t="str">
        <f t="shared" si="451"/>
        <v>catc</v>
      </c>
      <c r="AC1123" t="str">
        <f>("C594")</f>
        <v>C594</v>
      </c>
      <c r="AE1123" t="str">
        <f t="shared" si="462"/>
        <v>c.1</v>
      </c>
      <c r="AF1123" t="str">
        <f t="shared" si="463"/>
        <v>1.可借圖書</v>
      </c>
      <c r="AG1123" t="str">
        <f t="shared" si="464"/>
        <v>在架</v>
      </c>
      <c r="AI1123" t="s">
        <v>65</v>
      </c>
      <c r="AK1123" t="str">
        <f t="shared" si="452"/>
        <v>一般(Normal)</v>
      </c>
      <c r="AO1123" t="s">
        <v>65</v>
      </c>
      <c r="AS1123" t="str">
        <f>("2000.")</f>
        <v>2000.</v>
      </c>
      <c r="AT1123" t="str">
        <f t="shared" si="453"/>
        <v>catc</v>
      </c>
    </row>
    <row r="1124" spans="2:46" x14ac:dyDescent="0.25">
      <c r="B1124" t="str">
        <f>("287659")</f>
        <v>287659</v>
      </c>
      <c r="C1124" t="str">
        <f>("W00003194")</f>
        <v>W00003194</v>
      </c>
      <c r="D1124" t="str">
        <f>("Our money, ourselves :redesigning your relationship with money : a self-help guide /")</f>
        <v>Our money, ourselves :redesigning your relationship with money : a self-help guide /</v>
      </c>
      <c r="E1124" t="str">
        <f>("Ealy, C. Diane.")</f>
        <v>Ealy, C. Diane.</v>
      </c>
      <c r="F1124" t="str">
        <f>("AMACOM,")</f>
        <v>AMACOM,</v>
      </c>
      <c r="H1124" t="str">
        <f t="shared" si="454"/>
        <v>圖書 book</v>
      </c>
      <c r="I1124" t="str">
        <f>("HG179 E11 1999")</f>
        <v>HG179 E11 1999</v>
      </c>
      <c r="J1124" t="str">
        <f>("0814479995")</f>
        <v>0814479995</v>
      </c>
      <c r="K1124" t="str">
        <f t="shared" si="450"/>
        <v>0</v>
      </c>
      <c r="L1124" t="str">
        <f t="shared" si="465"/>
        <v>2001/10/10 00:00:00</v>
      </c>
      <c r="M1124" t="str">
        <f t="shared" si="466"/>
        <v>2018/08/11 13:31:42</v>
      </c>
      <c r="N1124" t="str">
        <f>("1999")</f>
        <v>1999</v>
      </c>
      <c r="O1124" t="str">
        <f t="shared" si="461"/>
        <v>4F西文書庫 4F Western Language Books</v>
      </c>
      <c r="P1124" t="s">
        <v>64</v>
      </c>
      <c r="W1124" t="str">
        <f t="shared" si="443"/>
        <v>美國國會圖書分類法</v>
      </c>
      <c r="Y1124" t="str">
        <f>("HG179")</f>
        <v>HG179</v>
      </c>
      <c r="Z1124" t="str">
        <f t="shared" si="467"/>
        <v>2018/08/11 13:31:42</v>
      </c>
      <c r="AA1124" t="str">
        <f t="shared" si="451"/>
        <v>catc</v>
      </c>
      <c r="AC1124" t="str">
        <f>("E11")</f>
        <v>E11</v>
      </c>
      <c r="AE1124" t="str">
        <f t="shared" si="462"/>
        <v>c.1</v>
      </c>
      <c r="AF1124" t="str">
        <f t="shared" si="463"/>
        <v>1.可借圖書</v>
      </c>
      <c r="AG1124" t="str">
        <f t="shared" si="464"/>
        <v>在架</v>
      </c>
      <c r="AI1124" t="s">
        <v>65</v>
      </c>
      <c r="AK1124" t="str">
        <f t="shared" si="452"/>
        <v>一般(Normal)</v>
      </c>
      <c r="AO1124" t="s">
        <v>65</v>
      </c>
      <c r="AS1124" t="str">
        <f>("c1999.")</f>
        <v>c1999.</v>
      </c>
      <c r="AT1124" t="str">
        <f t="shared" si="453"/>
        <v>catc</v>
      </c>
    </row>
    <row r="1125" spans="2:46" x14ac:dyDescent="0.25">
      <c r="B1125" t="str">
        <f>("287660")</f>
        <v>287660</v>
      </c>
      <c r="C1125" t="str">
        <f>("W00003195")</f>
        <v>W00003195</v>
      </c>
      <c r="D1125" t="str">
        <f>("Performance improvement :making it happen /")</f>
        <v>Performance improvement :making it happen /</v>
      </c>
      <c r="E1125" t="str">
        <f>("Enos, Darryl D.")</f>
        <v>Enos, Darryl D.</v>
      </c>
      <c r="F1125" t="str">
        <f>("St. Lucie Press,")</f>
        <v>St. Lucie Press,</v>
      </c>
      <c r="H1125" t="str">
        <f t="shared" si="454"/>
        <v>圖書 book</v>
      </c>
      <c r="I1125" t="str">
        <f>("HD58.7 E59 2000")</f>
        <v>HD58.7 E59 2000</v>
      </c>
      <c r="J1125" t="str">
        <f>("1574442821")</f>
        <v>1574442821</v>
      </c>
      <c r="K1125" t="str">
        <f t="shared" si="450"/>
        <v>0</v>
      </c>
      <c r="L1125" t="str">
        <f t="shared" si="465"/>
        <v>2001/10/10 00:00:00</v>
      </c>
      <c r="M1125" t="str">
        <f t="shared" si="466"/>
        <v>2018/08/11 13:31:42</v>
      </c>
      <c r="N1125" t="str">
        <f>("2000")</f>
        <v>2000</v>
      </c>
      <c r="O1125" t="str">
        <f t="shared" si="461"/>
        <v>4F西文書庫 4F Western Language Books</v>
      </c>
      <c r="P1125" t="s">
        <v>64</v>
      </c>
      <c r="W1125" t="str">
        <f t="shared" si="443"/>
        <v>美國國會圖書分類法</v>
      </c>
      <c r="Y1125" t="str">
        <f>("HD58.7")</f>
        <v>HD58.7</v>
      </c>
      <c r="Z1125" t="str">
        <f t="shared" si="467"/>
        <v>2018/08/11 13:31:42</v>
      </c>
      <c r="AA1125" t="str">
        <f t="shared" si="451"/>
        <v>catc</v>
      </c>
      <c r="AC1125" t="str">
        <f>("E59")</f>
        <v>E59</v>
      </c>
      <c r="AE1125" t="str">
        <f t="shared" si="462"/>
        <v>c.1</v>
      </c>
      <c r="AF1125" t="str">
        <f t="shared" si="463"/>
        <v>1.可借圖書</v>
      </c>
      <c r="AG1125" t="str">
        <f t="shared" si="464"/>
        <v>在架</v>
      </c>
      <c r="AI1125" t="s">
        <v>65</v>
      </c>
      <c r="AK1125" t="str">
        <f t="shared" si="452"/>
        <v>一般(Normal)</v>
      </c>
      <c r="AO1125" t="s">
        <v>65</v>
      </c>
      <c r="AS1125" t="str">
        <f>("c2000.")</f>
        <v>c2000.</v>
      </c>
      <c r="AT1125" t="str">
        <f t="shared" si="453"/>
        <v>catc</v>
      </c>
    </row>
    <row r="1126" spans="2:46" x14ac:dyDescent="0.25">
      <c r="B1126" t="str">
        <f>("287681")</f>
        <v>287681</v>
      </c>
      <c r="C1126" t="str">
        <f>("W00003196")</f>
        <v>W00003196</v>
      </c>
      <c r="D1126" t="str">
        <f>("The power of indirect influence /")</f>
        <v>The power of indirect influence /</v>
      </c>
      <c r="E1126" t="str">
        <f>("Tingley, Judith C.")</f>
        <v>Tingley, Judith C.</v>
      </c>
      <c r="F1126" t="str">
        <f>("AMACOM,")</f>
        <v>AMACOM,</v>
      </c>
      <c r="H1126" t="str">
        <f t="shared" si="454"/>
        <v>圖書 book</v>
      </c>
      <c r="I1126" t="str">
        <f>("HD30.3 T588 2001")</f>
        <v>HD30.3 T588 2001</v>
      </c>
      <c r="J1126" t="str">
        <f>("0814470505")</f>
        <v>0814470505</v>
      </c>
      <c r="K1126" t="str">
        <f t="shared" si="450"/>
        <v>0</v>
      </c>
      <c r="L1126" t="str">
        <f t="shared" si="465"/>
        <v>2001/10/10 00:00:00</v>
      </c>
      <c r="M1126" t="str">
        <f t="shared" si="466"/>
        <v>2018/08/11 13:31:42</v>
      </c>
      <c r="N1126" t="str">
        <f>("2001")</f>
        <v>2001</v>
      </c>
      <c r="O1126" t="str">
        <f t="shared" si="461"/>
        <v>4F西文書庫 4F Western Language Books</v>
      </c>
      <c r="P1126" t="s">
        <v>64</v>
      </c>
      <c r="W1126" t="str">
        <f t="shared" si="443"/>
        <v>美國國會圖書分類法</v>
      </c>
      <c r="Y1126" t="str">
        <f>("HD30.3")</f>
        <v>HD30.3</v>
      </c>
      <c r="Z1126" t="str">
        <f t="shared" si="467"/>
        <v>2018/08/11 13:31:42</v>
      </c>
      <c r="AA1126" t="str">
        <f t="shared" si="451"/>
        <v>catc</v>
      </c>
      <c r="AC1126" t="str">
        <f>("T588")</f>
        <v>T588</v>
      </c>
      <c r="AE1126" t="str">
        <f t="shared" si="462"/>
        <v>c.1</v>
      </c>
      <c r="AF1126" t="str">
        <f t="shared" si="463"/>
        <v>1.可借圖書</v>
      </c>
      <c r="AG1126" t="str">
        <f t="shared" si="464"/>
        <v>在架</v>
      </c>
      <c r="AI1126" t="s">
        <v>65</v>
      </c>
      <c r="AK1126" t="str">
        <f t="shared" si="452"/>
        <v>一般(Normal)</v>
      </c>
      <c r="AO1126" t="s">
        <v>65</v>
      </c>
      <c r="AS1126" t="str">
        <f>("2001.")</f>
        <v>2001.</v>
      </c>
      <c r="AT1126" t="str">
        <f t="shared" si="453"/>
        <v>catc</v>
      </c>
    </row>
    <row r="1127" spans="2:46" x14ac:dyDescent="0.25">
      <c r="B1127" t="str">
        <f>("287675")</f>
        <v>287675</v>
      </c>
      <c r="C1127" t="str">
        <f>("W00003197")</f>
        <v>W00003197</v>
      </c>
      <c r="D1127" t="str">
        <f>("The strategy-focused organization :how balanced scorecard companies thrive in the new business environment /")</f>
        <v>The strategy-focused organization :how balanced scorecard companies thrive in the new business environment /</v>
      </c>
      <c r="E1127" t="str">
        <f>("Kaplan, Robert S.")</f>
        <v>Kaplan, Robert S.</v>
      </c>
      <c r="F1127" t="str">
        <f>("Harvard Business School Press,")</f>
        <v>Harvard Business School Press,</v>
      </c>
      <c r="H1127" t="str">
        <f t="shared" si="454"/>
        <v>圖書 book</v>
      </c>
      <c r="I1127" t="str">
        <f>("HD30.28 K17 2001")</f>
        <v>HD30.28 K17 2001</v>
      </c>
      <c r="J1127" t="str">
        <f>("1578512506")</f>
        <v>1578512506</v>
      </c>
      <c r="K1127" t="str">
        <f t="shared" si="450"/>
        <v>0</v>
      </c>
      <c r="L1127" t="str">
        <f t="shared" si="465"/>
        <v>2001/10/10 00:00:00</v>
      </c>
      <c r="M1127" t="str">
        <f t="shared" ref="M1127:M1136" si="468">("2018/08/11 13:31:43")</f>
        <v>2018/08/11 13:31:43</v>
      </c>
      <c r="N1127" t="str">
        <f>("2001")</f>
        <v>2001</v>
      </c>
      <c r="O1127" t="str">
        <f t="shared" si="461"/>
        <v>4F西文書庫 4F Western Language Books</v>
      </c>
      <c r="P1127" t="s">
        <v>64</v>
      </c>
      <c r="S1127" t="str">
        <f>("x, 400 p. :")</f>
        <v>x, 400 p. :</v>
      </c>
      <c r="T1127" t="str">
        <f>("ill. ;")</f>
        <v>ill. ;</v>
      </c>
      <c r="U1127" t="str">
        <f>("24 cm.")</f>
        <v>24 cm.</v>
      </c>
      <c r="W1127" t="str">
        <f t="shared" si="443"/>
        <v>美國國會圖書分類法</v>
      </c>
      <c r="Y1127" t="str">
        <f>("HD30.28")</f>
        <v>HD30.28</v>
      </c>
      <c r="Z1127" t="str">
        <f t="shared" si="467"/>
        <v>2018/08/11 13:31:42</v>
      </c>
      <c r="AA1127" t="str">
        <f t="shared" si="451"/>
        <v>catc</v>
      </c>
      <c r="AC1127" t="str">
        <f>("K17")</f>
        <v>K17</v>
      </c>
      <c r="AE1127" t="str">
        <f t="shared" si="462"/>
        <v>c.1</v>
      </c>
      <c r="AF1127" t="str">
        <f t="shared" si="463"/>
        <v>1.可借圖書</v>
      </c>
      <c r="AG1127" t="str">
        <f t="shared" si="464"/>
        <v>在架</v>
      </c>
      <c r="AI1127" t="s">
        <v>65</v>
      </c>
      <c r="AK1127" t="str">
        <f t="shared" si="452"/>
        <v>一般(Normal)</v>
      </c>
      <c r="AO1127" t="s">
        <v>65</v>
      </c>
      <c r="AS1127" t="str">
        <f>("c2001.")</f>
        <v>c2001.</v>
      </c>
      <c r="AT1127" t="str">
        <f t="shared" si="453"/>
        <v>catc</v>
      </c>
    </row>
    <row r="1128" spans="2:46" x14ac:dyDescent="0.25">
      <c r="B1128" t="str">
        <f>("287676")</f>
        <v>287676</v>
      </c>
      <c r="C1128" t="str">
        <f>("W00003198")</f>
        <v>W00003198</v>
      </c>
      <c r="D1128" t="str">
        <f>("The e-auction insider :get the most out of your online experience /")</f>
        <v>The e-auction insider :get the most out of your online experience /</v>
      </c>
      <c r="E1128" t="str">
        <f>("Taylor, Dave,1962-")</f>
        <v>Taylor, Dave,1962-</v>
      </c>
      <c r="F1128" t="str">
        <f>("Osborne/McGraw-Hill,")</f>
        <v>Osborne/McGraw-Hill,</v>
      </c>
      <c r="H1128" t="str">
        <f t="shared" si="454"/>
        <v>圖書 book</v>
      </c>
      <c r="I1128" t="str">
        <f>("HF5478 T239 2000")</f>
        <v>HF5478 T239 2000</v>
      </c>
      <c r="J1128" t="str">
        <f>("0072125772")</f>
        <v>0072125772</v>
      </c>
      <c r="K1128" t="str">
        <f t="shared" si="450"/>
        <v>0</v>
      </c>
      <c r="L1128" t="str">
        <f t="shared" si="465"/>
        <v>2001/10/10 00:00:00</v>
      </c>
      <c r="M1128" t="str">
        <f t="shared" si="468"/>
        <v>2018/08/11 13:31:43</v>
      </c>
      <c r="N1128" t="str">
        <f>("2000")</f>
        <v>2000</v>
      </c>
      <c r="O1128" t="str">
        <f t="shared" si="461"/>
        <v>4F西文書庫 4F Western Language Books</v>
      </c>
      <c r="P1128" t="s">
        <v>64</v>
      </c>
      <c r="W1128" t="str">
        <f t="shared" si="443"/>
        <v>美國國會圖書分類法</v>
      </c>
      <c r="Y1128" t="str">
        <f>("HF5478")</f>
        <v>HF5478</v>
      </c>
      <c r="Z1128" t="str">
        <f t="shared" ref="Z1128:Z1136" si="469">("2018/08/11 13:31:43")</f>
        <v>2018/08/11 13:31:43</v>
      </c>
      <c r="AA1128" t="str">
        <f t="shared" si="451"/>
        <v>catc</v>
      </c>
      <c r="AC1128" t="str">
        <f>("T239")</f>
        <v>T239</v>
      </c>
      <c r="AE1128" t="str">
        <f t="shared" si="462"/>
        <v>c.1</v>
      </c>
      <c r="AF1128" t="str">
        <f t="shared" si="463"/>
        <v>1.可借圖書</v>
      </c>
      <c r="AG1128" t="str">
        <f t="shared" si="464"/>
        <v>在架</v>
      </c>
      <c r="AI1128" t="s">
        <v>65</v>
      </c>
      <c r="AK1128" t="str">
        <f t="shared" si="452"/>
        <v>一般(Normal)</v>
      </c>
      <c r="AO1128" t="s">
        <v>65</v>
      </c>
      <c r="AS1128" t="str">
        <f>("c2000.")</f>
        <v>c2000.</v>
      </c>
      <c r="AT1128" t="str">
        <f t="shared" si="453"/>
        <v>catc</v>
      </c>
    </row>
    <row r="1129" spans="2:46" x14ac:dyDescent="0.25">
      <c r="B1129" t="str">
        <f>("287677")</f>
        <v>287677</v>
      </c>
      <c r="C1129" t="str">
        <f>("W00003199")</f>
        <v>W00003199</v>
      </c>
      <c r="D1129" t="str">
        <f>("The new positioning :the latest on the world's #1 business strategy /")</f>
        <v>The new positioning :the latest on the world's #1 business strategy /</v>
      </c>
      <c r="E1129" t="str">
        <f>("Trout, Jack.")</f>
        <v>Trout, Jack.</v>
      </c>
      <c r="F1129" t="str">
        <f>("McGraw-Hill,")</f>
        <v>McGraw-Hill,</v>
      </c>
      <c r="H1129" t="str">
        <f t="shared" si="454"/>
        <v>圖書 book</v>
      </c>
      <c r="I1129" t="str">
        <f>("HF5827.2 T861 1996")</f>
        <v>HF5827.2 T861 1996</v>
      </c>
      <c r="J1129" t="str">
        <f>("0070652910;0071147799")</f>
        <v>0070652910;0071147799</v>
      </c>
      <c r="K1129" t="str">
        <f t="shared" si="450"/>
        <v>0</v>
      </c>
      <c r="L1129" t="str">
        <f t="shared" si="465"/>
        <v>2001/10/10 00:00:00</v>
      </c>
      <c r="M1129" t="str">
        <f t="shared" si="468"/>
        <v>2018/08/11 13:31:43</v>
      </c>
      <c r="N1129" t="str">
        <f>("1996")</f>
        <v>1996</v>
      </c>
      <c r="O1129" t="str">
        <f t="shared" si="461"/>
        <v>4F西文書庫 4F Western Language Books</v>
      </c>
      <c r="P1129" t="s">
        <v>64</v>
      </c>
      <c r="W1129" t="str">
        <f t="shared" si="443"/>
        <v>美國國會圖書分類法</v>
      </c>
      <c r="Y1129" t="str">
        <f>("HF5827.2")</f>
        <v>HF5827.2</v>
      </c>
      <c r="Z1129" t="str">
        <f t="shared" si="469"/>
        <v>2018/08/11 13:31:43</v>
      </c>
      <c r="AA1129" t="str">
        <f t="shared" si="451"/>
        <v>catc</v>
      </c>
      <c r="AC1129" t="str">
        <f>("T861")</f>
        <v>T861</v>
      </c>
      <c r="AE1129" t="str">
        <f t="shared" si="462"/>
        <v>c.1</v>
      </c>
      <c r="AF1129" t="str">
        <f t="shared" si="463"/>
        <v>1.可借圖書</v>
      </c>
      <c r="AG1129" t="str">
        <f t="shared" si="464"/>
        <v>在架</v>
      </c>
      <c r="AI1129" t="s">
        <v>65</v>
      </c>
      <c r="AK1129" t="str">
        <f t="shared" si="452"/>
        <v>一般(Normal)</v>
      </c>
      <c r="AO1129" t="s">
        <v>65</v>
      </c>
      <c r="AS1129" t="str">
        <f>("1996.")</f>
        <v>1996.</v>
      </c>
      <c r="AT1129" t="str">
        <f t="shared" si="453"/>
        <v>catc</v>
      </c>
    </row>
    <row r="1130" spans="2:46" x14ac:dyDescent="0.25">
      <c r="B1130" t="str">
        <f>("287678")</f>
        <v>287678</v>
      </c>
      <c r="C1130" t="str">
        <f>("W00003200")</f>
        <v>W00003200</v>
      </c>
      <c r="D1130" t="str">
        <f>("Weddle's recruiter's guide to employment web sites 2001 /")</f>
        <v>Weddle's recruiter's guide to employment web sites 2001 /</v>
      </c>
      <c r="E1130" t="str">
        <f>("Weddle, Peter D.")</f>
        <v>Weddle, Peter D.</v>
      </c>
      <c r="F1130" t="str">
        <f>("AMACOM,")</f>
        <v>AMACOM,</v>
      </c>
      <c r="H1130" t="str">
        <f>("參考書 Reference")</f>
        <v>參考書 Reference</v>
      </c>
      <c r="I1130" t="str">
        <f>("R HF5549.5.R44 W388 2001")</f>
        <v>R HF5549.5.R44 W388 2001</v>
      </c>
      <c r="J1130" t="str">
        <f>("0814470963")</f>
        <v>0814470963</v>
      </c>
      <c r="K1130" t="str">
        <f t="shared" si="450"/>
        <v>0</v>
      </c>
      <c r="L1130" t="str">
        <f t="shared" si="465"/>
        <v>2001/10/10 00:00:00</v>
      </c>
      <c r="M1130" t="str">
        <f t="shared" si="468"/>
        <v>2018/08/11 13:31:43</v>
      </c>
      <c r="N1130" t="str">
        <f>("2001")</f>
        <v>2001</v>
      </c>
      <c r="O1130" t="str">
        <f>("2F西文參考書庫 2F Western Reference Resources")</f>
        <v>2F西文參考書庫 2F Western Reference Resources</v>
      </c>
      <c r="P1130" t="s">
        <v>64</v>
      </c>
      <c r="W1130" t="str">
        <f t="shared" si="443"/>
        <v>美國國會圖書分類法</v>
      </c>
      <c r="Y1130" t="str">
        <f>("HF5549.5.R44")</f>
        <v>HF5549.5.R44</v>
      </c>
      <c r="Z1130" t="str">
        <f t="shared" si="469"/>
        <v>2018/08/11 13:31:43</v>
      </c>
      <c r="AA1130" t="str">
        <f t="shared" si="451"/>
        <v>catc</v>
      </c>
      <c r="AC1130" t="str">
        <f>("W388")</f>
        <v>W388</v>
      </c>
      <c r="AE1130" t="str">
        <f t="shared" si="462"/>
        <v>c.1</v>
      </c>
      <c r="AF1130" t="str">
        <f>("參考工具書")</f>
        <v>參考工具書</v>
      </c>
      <c r="AG1130" t="str">
        <f>("報銷中")</f>
        <v>報銷中</v>
      </c>
      <c r="AI1130" t="s">
        <v>66</v>
      </c>
      <c r="AK1130" t="str">
        <f t="shared" si="452"/>
        <v>一般(Normal)</v>
      </c>
      <c r="AO1130" t="s">
        <v>65</v>
      </c>
      <c r="AS1130" t="str">
        <f>("2001.")</f>
        <v>2001.</v>
      </c>
      <c r="AT1130" t="str">
        <f t="shared" si="453"/>
        <v>catc</v>
      </c>
    </row>
    <row r="1131" spans="2:46" x14ac:dyDescent="0.25">
      <c r="B1131" t="str">
        <f>("287679")</f>
        <v>287679</v>
      </c>
      <c r="C1131" t="str">
        <f>("W00003201")</f>
        <v>W00003201</v>
      </c>
      <c r="D1131" t="str">
        <f>("Winning PR in the wired world :powerful communications strategies for the noisy digital space /")</f>
        <v>Winning PR in the wired world :powerful communications strategies for the noisy digital space /</v>
      </c>
      <c r="E1131" t="str">
        <f>("Middleberg, Don.")</f>
        <v>Middleberg, Don.</v>
      </c>
      <c r="F1131" t="str">
        <f>("McGraw-Hill,")</f>
        <v>McGraw-Hill,</v>
      </c>
      <c r="H1131" t="str">
        <f t="shared" ref="H1131:H1190" si="470">("圖書 book")</f>
        <v>圖書 book</v>
      </c>
      <c r="I1131" t="str">
        <f>("HM1221 M627 2001")</f>
        <v>HM1221 M627 2001</v>
      </c>
      <c r="J1131" t="str">
        <f>("0071363424")</f>
        <v>0071363424</v>
      </c>
      <c r="K1131" t="str">
        <f t="shared" si="450"/>
        <v>0</v>
      </c>
      <c r="L1131" t="str">
        <f t="shared" si="465"/>
        <v>2001/10/10 00:00:00</v>
      </c>
      <c r="M1131" t="str">
        <f t="shared" si="468"/>
        <v>2018/08/11 13:31:43</v>
      </c>
      <c r="N1131" t="str">
        <f>("2001")</f>
        <v>2001</v>
      </c>
      <c r="O1131" t="str">
        <f t="shared" ref="O1131:O1180" si="471">("4F西文書庫 4F Western Language Books")</f>
        <v>4F西文書庫 4F Western Language Books</v>
      </c>
      <c r="P1131" t="s">
        <v>64</v>
      </c>
      <c r="W1131" t="str">
        <f t="shared" si="443"/>
        <v>美國國會圖書分類法</v>
      </c>
      <c r="Y1131" t="str">
        <f>("HM1221")</f>
        <v>HM1221</v>
      </c>
      <c r="Z1131" t="str">
        <f t="shared" si="469"/>
        <v>2018/08/11 13:31:43</v>
      </c>
      <c r="AA1131" t="str">
        <f t="shared" si="451"/>
        <v>catc</v>
      </c>
      <c r="AC1131" t="str">
        <f>("M627")</f>
        <v>M627</v>
      </c>
      <c r="AE1131" t="str">
        <f t="shared" si="462"/>
        <v>c.1</v>
      </c>
      <c r="AF1131" t="str">
        <f t="shared" ref="AF1131:AF1180" si="472">("1.可借圖書")</f>
        <v>1.可借圖書</v>
      </c>
      <c r="AG1131" t="str">
        <f t="shared" ref="AG1131:AG1180" si="473">("在架")</f>
        <v>在架</v>
      </c>
      <c r="AI1131" t="s">
        <v>65</v>
      </c>
      <c r="AK1131" t="str">
        <f t="shared" si="452"/>
        <v>一般(Normal)</v>
      </c>
      <c r="AO1131" t="s">
        <v>65</v>
      </c>
      <c r="AS1131" t="str">
        <f>("c2001.")</f>
        <v>c2001.</v>
      </c>
      <c r="AT1131" t="str">
        <f t="shared" si="453"/>
        <v>catc</v>
      </c>
    </row>
    <row r="1132" spans="2:46" x14ac:dyDescent="0.25">
      <c r="B1132" t="str">
        <f>("287682")</f>
        <v>287682</v>
      </c>
      <c r="C1132" t="str">
        <f>("W00003202")</f>
        <v>W00003202</v>
      </c>
      <c r="D1132" t="str">
        <f>("Winning the technology talent war :a manager's guide to recruiting and retaining tech workers in a dot-com world /")</f>
        <v>Winning the technology talent war :a manager's guide to recruiting and retaining tech workers in a dot-com world /</v>
      </c>
      <c r="E1132" t="str">
        <f>("Brantley, Mary Ellen.")</f>
        <v>Brantley, Mary Ellen.</v>
      </c>
      <c r="F1132" t="str">
        <f>("McGraw-Hill,")</f>
        <v>McGraw-Hill,</v>
      </c>
      <c r="H1132" t="str">
        <f t="shared" si="470"/>
        <v>圖書 book</v>
      </c>
      <c r="I1132" t="str">
        <f>("HD62.37 B821 2001")</f>
        <v>HD62.37 B821 2001</v>
      </c>
      <c r="J1132" t="str">
        <f>("0071364749")</f>
        <v>0071364749</v>
      </c>
      <c r="K1132" t="str">
        <f t="shared" si="450"/>
        <v>0</v>
      </c>
      <c r="L1132" t="str">
        <f t="shared" si="465"/>
        <v>2001/10/10 00:00:00</v>
      </c>
      <c r="M1132" t="str">
        <f t="shared" si="468"/>
        <v>2018/08/11 13:31:43</v>
      </c>
      <c r="N1132" t="str">
        <f>("2001")</f>
        <v>2001</v>
      </c>
      <c r="O1132" t="str">
        <f t="shared" si="471"/>
        <v>4F西文書庫 4F Western Language Books</v>
      </c>
      <c r="P1132" t="s">
        <v>64</v>
      </c>
      <c r="W1132" t="str">
        <f t="shared" si="443"/>
        <v>美國國會圖書分類法</v>
      </c>
      <c r="Y1132" t="str">
        <f>("HD62.37")</f>
        <v>HD62.37</v>
      </c>
      <c r="Z1132" t="str">
        <f t="shared" si="469"/>
        <v>2018/08/11 13:31:43</v>
      </c>
      <c r="AA1132" t="str">
        <f t="shared" si="451"/>
        <v>catc</v>
      </c>
      <c r="AC1132" t="str">
        <f>("B821")</f>
        <v>B821</v>
      </c>
      <c r="AE1132" t="str">
        <f t="shared" si="462"/>
        <v>c.1</v>
      </c>
      <c r="AF1132" t="str">
        <f t="shared" si="472"/>
        <v>1.可借圖書</v>
      </c>
      <c r="AG1132" t="str">
        <f t="shared" si="473"/>
        <v>在架</v>
      </c>
      <c r="AI1132" t="s">
        <v>65</v>
      </c>
      <c r="AK1132" t="str">
        <f t="shared" si="452"/>
        <v>一般(Normal)</v>
      </c>
      <c r="AO1132" t="s">
        <v>65</v>
      </c>
      <c r="AS1132" t="str">
        <f>("c2001.")</f>
        <v>c2001.</v>
      </c>
      <c r="AT1132" t="str">
        <f t="shared" si="453"/>
        <v>catc</v>
      </c>
    </row>
    <row r="1133" spans="2:46" x14ac:dyDescent="0.25">
      <c r="B1133" t="str">
        <f>("287683")</f>
        <v>287683</v>
      </c>
      <c r="C1133" t="str">
        <f>("W00003203")</f>
        <v>W00003203</v>
      </c>
      <c r="D1133" t="str">
        <f>("A practical guide to information systems process improvement /")</f>
        <v>A practical guide to information systems process improvement /</v>
      </c>
      <c r="E1133" t="str">
        <f>("Cassidy, Anita.")</f>
        <v>Cassidy, Anita.</v>
      </c>
      <c r="F1133" t="str">
        <f>("St. Lucie Press,")</f>
        <v>St. Lucie Press,</v>
      </c>
      <c r="H1133" t="str">
        <f t="shared" si="470"/>
        <v>圖書 book</v>
      </c>
      <c r="I1133" t="str">
        <f>("T58.64 C345 2001")</f>
        <v>T58.64 C345 2001</v>
      </c>
      <c r="J1133" t="str">
        <f>("1574442813")</f>
        <v>1574442813</v>
      </c>
      <c r="K1133" t="str">
        <f t="shared" si="450"/>
        <v>0</v>
      </c>
      <c r="L1133" t="str">
        <f t="shared" si="465"/>
        <v>2001/10/10 00:00:00</v>
      </c>
      <c r="M1133" t="str">
        <f t="shared" si="468"/>
        <v>2018/08/11 13:31:43</v>
      </c>
      <c r="N1133" t="str">
        <f>("2001")</f>
        <v>2001</v>
      </c>
      <c r="O1133" t="str">
        <f t="shared" si="471"/>
        <v>4F西文書庫 4F Western Language Books</v>
      </c>
      <c r="P1133" t="s">
        <v>64</v>
      </c>
      <c r="W1133" t="str">
        <f t="shared" si="443"/>
        <v>美國國會圖書分類法</v>
      </c>
      <c r="Y1133" t="str">
        <f>("T58.64")</f>
        <v>T58.64</v>
      </c>
      <c r="Z1133" t="str">
        <f t="shared" si="469"/>
        <v>2018/08/11 13:31:43</v>
      </c>
      <c r="AA1133" t="str">
        <f t="shared" si="451"/>
        <v>catc</v>
      </c>
      <c r="AC1133" t="str">
        <f>("C345")</f>
        <v>C345</v>
      </c>
      <c r="AE1133" t="str">
        <f t="shared" si="462"/>
        <v>c.1</v>
      </c>
      <c r="AF1133" t="str">
        <f t="shared" si="472"/>
        <v>1.可借圖書</v>
      </c>
      <c r="AG1133" t="str">
        <f t="shared" si="473"/>
        <v>在架</v>
      </c>
      <c r="AI1133" t="s">
        <v>65</v>
      </c>
      <c r="AK1133" t="str">
        <f t="shared" si="452"/>
        <v>一般(Normal)</v>
      </c>
      <c r="AO1133" t="s">
        <v>65</v>
      </c>
      <c r="AS1133" t="str">
        <f>("c2001.")</f>
        <v>c2001.</v>
      </c>
      <c r="AT1133" t="str">
        <f t="shared" si="453"/>
        <v>catc</v>
      </c>
    </row>
    <row r="1134" spans="2:46" x14ac:dyDescent="0.25">
      <c r="B1134" t="str">
        <f>("287684")</f>
        <v>287684</v>
      </c>
      <c r="C1134" t="str">
        <f>("W00003204")</f>
        <v>W00003204</v>
      </c>
      <c r="D1134" t="str">
        <f>("Are skills the answer? :the political economy of skill creation in advanced industrial countries /")</f>
        <v>Are skills the answer? :the political economy of skill creation in advanced industrial countries /</v>
      </c>
      <c r="E1134" t="str">
        <f>("Crouch, Colin,1944-")</f>
        <v>Crouch, Colin,1944-</v>
      </c>
      <c r="F1134" t="str">
        <f>("Oxford University Press,")</f>
        <v>Oxford University Press,</v>
      </c>
      <c r="H1134" t="str">
        <f t="shared" si="470"/>
        <v>圖書 book</v>
      </c>
      <c r="I1134" t="str">
        <f>("HD5715 C952 1999")</f>
        <v>HD5715 C952 1999</v>
      </c>
      <c r="J1134" t="str">
        <f>("0198294387;0199241112")</f>
        <v>0198294387;0199241112</v>
      </c>
      <c r="K1134" t="str">
        <f t="shared" si="450"/>
        <v>0</v>
      </c>
      <c r="L1134" t="str">
        <f t="shared" si="465"/>
        <v>2001/10/10 00:00:00</v>
      </c>
      <c r="M1134" t="str">
        <f t="shared" si="468"/>
        <v>2018/08/11 13:31:43</v>
      </c>
      <c r="N1134" t="str">
        <f>("1999")</f>
        <v>1999</v>
      </c>
      <c r="O1134" t="str">
        <f t="shared" si="471"/>
        <v>4F西文書庫 4F Western Language Books</v>
      </c>
      <c r="P1134" t="s">
        <v>64</v>
      </c>
      <c r="W1134" t="str">
        <f t="shared" si="443"/>
        <v>美國國會圖書分類法</v>
      </c>
      <c r="Y1134" t="str">
        <f>("HD5715")</f>
        <v>HD5715</v>
      </c>
      <c r="Z1134" t="str">
        <f t="shared" si="469"/>
        <v>2018/08/11 13:31:43</v>
      </c>
      <c r="AA1134" t="str">
        <f t="shared" si="451"/>
        <v>catc</v>
      </c>
      <c r="AC1134" t="str">
        <f>("C952")</f>
        <v>C952</v>
      </c>
      <c r="AE1134" t="str">
        <f t="shared" si="462"/>
        <v>c.1</v>
      </c>
      <c r="AF1134" t="str">
        <f t="shared" si="472"/>
        <v>1.可借圖書</v>
      </c>
      <c r="AG1134" t="str">
        <f t="shared" si="473"/>
        <v>在架</v>
      </c>
      <c r="AI1134" t="s">
        <v>65</v>
      </c>
      <c r="AK1134" t="str">
        <f t="shared" si="452"/>
        <v>一般(Normal)</v>
      </c>
      <c r="AO1134" t="s">
        <v>65</v>
      </c>
      <c r="AS1134" t="str">
        <f>("1999.")</f>
        <v>1999.</v>
      </c>
      <c r="AT1134" t="str">
        <f t="shared" si="453"/>
        <v>catc</v>
      </c>
    </row>
    <row r="1135" spans="2:46" x14ac:dyDescent="0.25">
      <c r="B1135" t="str">
        <f>("287685")</f>
        <v>287685</v>
      </c>
      <c r="C1135" t="str">
        <f>("W00003205")</f>
        <v>W00003205</v>
      </c>
      <c r="D1135" t="str">
        <f>("Development economics :from the poverty to the wealth of nations /")</f>
        <v>Development economics :from the poverty to the wealth of nations /</v>
      </c>
      <c r="E1135" t="str">
        <f>("Hayami, Yujiro,1932-")</f>
        <v>Hayami, Yujiro,1932-</v>
      </c>
      <c r="F1135" t="str">
        <f>("Oxford University Press,")</f>
        <v>Oxford University Press,</v>
      </c>
      <c r="G1135" t="str">
        <f>("2nd ed.")</f>
        <v>2nd ed.</v>
      </c>
      <c r="H1135" t="str">
        <f t="shared" si="470"/>
        <v>圖書 book</v>
      </c>
      <c r="I1135" t="str">
        <f>("HD82 H413 2001")</f>
        <v>HD82 H413 2001</v>
      </c>
      <c r="J1135" t="str">
        <f>("0199243972")</f>
        <v>0199243972</v>
      </c>
      <c r="K1135" t="str">
        <f t="shared" si="450"/>
        <v>0</v>
      </c>
      <c r="L1135" t="str">
        <f t="shared" si="465"/>
        <v>2001/10/10 00:00:00</v>
      </c>
      <c r="M1135" t="str">
        <f t="shared" si="468"/>
        <v>2018/08/11 13:31:43</v>
      </c>
      <c r="N1135" t="str">
        <f>("2001")</f>
        <v>2001</v>
      </c>
      <c r="O1135" t="str">
        <f t="shared" si="471"/>
        <v>4F西文書庫 4F Western Language Books</v>
      </c>
      <c r="P1135" t="s">
        <v>64</v>
      </c>
      <c r="W1135" t="str">
        <f t="shared" si="443"/>
        <v>美國國會圖書分類法</v>
      </c>
      <c r="Y1135" t="str">
        <f>("HD82")</f>
        <v>HD82</v>
      </c>
      <c r="Z1135" t="str">
        <f t="shared" si="469"/>
        <v>2018/08/11 13:31:43</v>
      </c>
      <c r="AA1135" t="str">
        <f t="shared" si="451"/>
        <v>catc</v>
      </c>
      <c r="AC1135" t="str">
        <f>("H413")</f>
        <v>H413</v>
      </c>
      <c r="AE1135" t="str">
        <f t="shared" si="462"/>
        <v>c.1</v>
      </c>
      <c r="AF1135" t="str">
        <f t="shared" si="472"/>
        <v>1.可借圖書</v>
      </c>
      <c r="AG1135" t="str">
        <f t="shared" si="473"/>
        <v>在架</v>
      </c>
      <c r="AI1135" t="s">
        <v>65</v>
      </c>
      <c r="AK1135" t="str">
        <f t="shared" si="452"/>
        <v>一般(Normal)</v>
      </c>
      <c r="AO1135" t="s">
        <v>65</v>
      </c>
      <c r="AS1135" t="str">
        <f>("2001.")</f>
        <v>2001.</v>
      </c>
      <c r="AT1135" t="str">
        <f t="shared" si="453"/>
        <v>catc</v>
      </c>
    </row>
    <row r="1136" spans="2:46" x14ac:dyDescent="0.25">
      <c r="B1136" t="str">
        <f>("287686")</f>
        <v>287686</v>
      </c>
      <c r="C1136" t="str">
        <f>("W00003206")</f>
        <v>W00003206</v>
      </c>
      <c r="D1136" t="str">
        <f>("Emotion marketing :the Hallmark way of winning customers for life /")</f>
        <v>Emotion marketing :the Hallmark way of winning customers for life /</v>
      </c>
      <c r="E1136" t="str">
        <f>("Robinette, Scott.")</f>
        <v>Robinette, Scott.</v>
      </c>
      <c r="F1136" t="str">
        <f>("McGraw-Hill,")</f>
        <v>McGraw-Hill,</v>
      </c>
      <c r="H1136" t="str">
        <f t="shared" si="470"/>
        <v>圖書 book</v>
      </c>
      <c r="I1136" t="str">
        <f>("HF5415 R656 2001")</f>
        <v>HF5415 R656 2001</v>
      </c>
      <c r="J1136" t="str">
        <f>("0071364145")</f>
        <v>0071364145</v>
      </c>
      <c r="K1136" t="str">
        <f t="shared" si="450"/>
        <v>0</v>
      </c>
      <c r="L1136" t="str">
        <f t="shared" si="465"/>
        <v>2001/10/10 00:00:00</v>
      </c>
      <c r="M1136" t="str">
        <f t="shared" si="468"/>
        <v>2018/08/11 13:31:43</v>
      </c>
      <c r="N1136" t="str">
        <f>("2001")</f>
        <v>2001</v>
      </c>
      <c r="O1136" t="str">
        <f t="shared" si="471"/>
        <v>4F西文書庫 4F Western Language Books</v>
      </c>
      <c r="P1136" t="s">
        <v>64</v>
      </c>
      <c r="W1136" t="str">
        <f t="shared" si="443"/>
        <v>美國國會圖書分類法</v>
      </c>
      <c r="Y1136" t="str">
        <f>("HF5415")</f>
        <v>HF5415</v>
      </c>
      <c r="Z1136" t="str">
        <f t="shared" si="469"/>
        <v>2018/08/11 13:31:43</v>
      </c>
      <c r="AA1136" t="str">
        <f t="shared" si="451"/>
        <v>catc</v>
      </c>
      <c r="AC1136" t="str">
        <f>("R656")</f>
        <v>R656</v>
      </c>
      <c r="AE1136" t="str">
        <f t="shared" si="462"/>
        <v>c.1</v>
      </c>
      <c r="AF1136" t="str">
        <f t="shared" si="472"/>
        <v>1.可借圖書</v>
      </c>
      <c r="AG1136" t="str">
        <f t="shared" si="473"/>
        <v>在架</v>
      </c>
      <c r="AI1136" t="s">
        <v>65</v>
      </c>
      <c r="AK1136" t="str">
        <f t="shared" si="452"/>
        <v>一般(Normal)</v>
      </c>
      <c r="AO1136" t="s">
        <v>65</v>
      </c>
      <c r="AS1136" t="str">
        <f>("c2001.")</f>
        <v>c2001.</v>
      </c>
      <c r="AT1136" t="str">
        <f t="shared" si="453"/>
        <v>catc</v>
      </c>
    </row>
    <row r="1137" spans="2:48" x14ac:dyDescent="0.25">
      <c r="B1137" t="str">
        <f>("287680")</f>
        <v>287680</v>
      </c>
      <c r="C1137" t="str">
        <f>("W00003207")</f>
        <v>W00003207</v>
      </c>
      <c r="D1137" t="str">
        <f>("Finance &amp; accounting for non-financial executives /")</f>
        <v>Finance &amp; accounting for non-financial executives /</v>
      </c>
      <c r="E1137" t="str">
        <f>("Weston, J. Fred1916-")</f>
        <v>Weston, J. Fred1916-</v>
      </c>
      <c r="F1137" t="str">
        <f>("McGraw-Hill,")</f>
        <v>McGraw-Hill,</v>
      </c>
      <c r="H1137" t="str">
        <f t="shared" si="470"/>
        <v>圖書 book</v>
      </c>
      <c r="I1137" t="str">
        <f>("HG173 W363 2001")</f>
        <v>HG173 W363 2001</v>
      </c>
      <c r="J1137" t="str">
        <f>("0071364331")</f>
        <v>0071364331</v>
      </c>
      <c r="K1137" t="str">
        <f t="shared" si="450"/>
        <v>0</v>
      </c>
      <c r="L1137" t="str">
        <f t="shared" si="465"/>
        <v>2001/10/10 00:00:00</v>
      </c>
      <c r="M1137" t="str">
        <f>("2018/08/11 13:31:44")</f>
        <v>2018/08/11 13:31:44</v>
      </c>
      <c r="N1137" t="str">
        <f>("2001")</f>
        <v>2001</v>
      </c>
      <c r="O1137" t="str">
        <f t="shared" si="471"/>
        <v>4F西文書庫 4F Western Language Books</v>
      </c>
      <c r="P1137" t="s">
        <v>64</v>
      </c>
      <c r="W1137" t="str">
        <f t="shared" si="443"/>
        <v>美國國會圖書分類法</v>
      </c>
      <c r="Y1137" t="str">
        <f>("HG173")</f>
        <v>HG173</v>
      </c>
      <c r="Z1137" t="str">
        <f>("2018/08/11 13:31:44")</f>
        <v>2018/08/11 13:31:44</v>
      </c>
      <c r="AA1137" t="str">
        <f t="shared" si="451"/>
        <v>catc</v>
      </c>
      <c r="AC1137" t="str">
        <f>("W363")</f>
        <v>W363</v>
      </c>
      <c r="AE1137" t="str">
        <f t="shared" si="462"/>
        <v>c.1</v>
      </c>
      <c r="AF1137" t="str">
        <f t="shared" si="472"/>
        <v>1.可借圖書</v>
      </c>
      <c r="AG1137" t="str">
        <f t="shared" si="473"/>
        <v>在架</v>
      </c>
      <c r="AI1137" t="s">
        <v>65</v>
      </c>
      <c r="AK1137" t="str">
        <f t="shared" si="452"/>
        <v>一般(Normal)</v>
      </c>
      <c r="AO1137" t="s">
        <v>65</v>
      </c>
      <c r="AS1137" t="str">
        <f>("2001.")</f>
        <v>2001.</v>
      </c>
      <c r="AT1137" t="str">
        <f t="shared" si="453"/>
        <v>catc</v>
      </c>
    </row>
    <row r="1138" spans="2:48" x14ac:dyDescent="0.25">
      <c r="B1138" t="str">
        <f>("290487")</f>
        <v>290487</v>
      </c>
      <c r="C1138" t="str">
        <f>("W00003208")</f>
        <v>W00003208</v>
      </c>
      <c r="D1138" t="str">
        <f>("Harvard business review on organizational learning.")</f>
        <v>Harvard business review on organizational learning.</v>
      </c>
      <c r="E1138" t="str">
        <f>("")</f>
        <v/>
      </c>
      <c r="F1138" t="str">
        <f>("Harvard Business School Press,")</f>
        <v>Harvard Business School Press,</v>
      </c>
      <c r="H1138" t="str">
        <f t="shared" si="470"/>
        <v>圖書 book</v>
      </c>
      <c r="I1138" t="str">
        <f>("HD58.82 H339 2001")</f>
        <v>HD58.82 H339 2001</v>
      </c>
      <c r="J1138" t="str">
        <f>("1578516153")</f>
        <v>1578516153</v>
      </c>
      <c r="K1138" t="str">
        <f t="shared" si="450"/>
        <v>0</v>
      </c>
      <c r="L1138" t="str">
        <f>("2001/10/16 00:00:00")</f>
        <v>2001/10/16 00:00:00</v>
      </c>
      <c r="M1138" t="str">
        <f>("2018/08/11 13:36:30")</f>
        <v>2018/08/11 13:36:30</v>
      </c>
      <c r="N1138" t="str">
        <f>("2001")</f>
        <v>2001</v>
      </c>
      <c r="O1138" t="str">
        <f t="shared" si="471"/>
        <v>4F西文書庫 4F Western Language Books</v>
      </c>
      <c r="P1138" t="s">
        <v>64</v>
      </c>
      <c r="W1138" t="str">
        <f t="shared" si="443"/>
        <v>美國國會圖書分類法</v>
      </c>
      <c r="Y1138" t="str">
        <f>("HD58.82")</f>
        <v>HD58.82</v>
      </c>
      <c r="Z1138" t="str">
        <f>("2018/08/11 13:36:30")</f>
        <v>2018/08/11 13:36:30</v>
      </c>
      <c r="AA1138" t="str">
        <f t="shared" si="451"/>
        <v>catc</v>
      </c>
      <c r="AC1138" t="str">
        <f>("H339")</f>
        <v>H339</v>
      </c>
      <c r="AE1138" t="str">
        <f t="shared" si="462"/>
        <v>c.1</v>
      </c>
      <c r="AF1138" t="str">
        <f t="shared" si="472"/>
        <v>1.可借圖書</v>
      </c>
      <c r="AG1138" t="str">
        <f t="shared" si="473"/>
        <v>在架</v>
      </c>
      <c r="AI1138" t="s">
        <v>65</v>
      </c>
      <c r="AK1138" t="str">
        <f t="shared" si="452"/>
        <v>一般(Normal)</v>
      </c>
      <c r="AO1138" t="s">
        <v>65</v>
      </c>
      <c r="AS1138" t="str">
        <f>("2001.")</f>
        <v>2001.</v>
      </c>
      <c r="AT1138" t="str">
        <f t="shared" si="453"/>
        <v>catc</v>
      </c>
    </row>
    <row r="1139" spans="2:48" x14ac:dyDescent="0.25">
      <c r="B1139" t="str">
        <f>("287687")</f>
        <v>287687</v>
      </c>
      <c r="C1139" t="str">
        <f>("W00003209")</f>
        <v>W00003209</v>
      </c>
      <c r="D1139" t="str">
        <f>("Healthcare.com :Rx for reform /")</f>
        <v>Healthcare.com :Rx for reform /</v>
      </c>
      <c r="E1139" t="str">
        <f>("Friend, David B.")</f>
        <v>Friend, David B.</v>
      </c>
      <c r="F1139" t="str">
        <f>("St. Lucie Press,")</f>
        <v>St. Lucie Press,</v>
      </c>
      <c r="H1139" t="str">
        <f t="shared" si="470"/>
        <v>圖書 book</v>
      </c>
      <c r="I1139" t="str">
        <f>("RA395.A3 F911 2000")</f>
        <v>RA395.A3 F911 2000</v>
      </c>
      <c r="J1139" t="str">
        <f>("1574442740")</f>
        <v>1574442740</v>
      </c>
      <c r="K1139" t="str">
        <f t="shared" si="450"/>
        <v>0</v>
      </c>
      <c r="L1139" t="str">
        <f>("2001/10/10 00:00:00")</f>
        <v>2001/10/10 00:00:00</v>
      </c>
      <c r="M1139" t="str">
        <f>("2018/08/11 13:31:44")</f>
        <v>2018/08/11 13:31:44</v>
      </c>
      <c r="N1139" t="str">
        <f>("2000")</f>
        <v>2000</v>
      </c>
      <c r="O1139" t="str">
        <f t="shared" si="471"/>
        <v>4F西文書庫 4F Western Language Books</v>
      </c>
      <c r="P1139" t="s">
        <v>64</v>
      </c>
      <c r="W1139" t="str">
        <f t="shared" si="443"/>
        <v>美國國會圖書分類法</v>
      </c>
      <c r="Y1139" t="str">
        <f>("RA395.A3")</f>
        <v>RA395.A3</v>
      </c>
      <c r="Z1139" t="str">
        <f>("2018/08/11 13:31:44")</f>
        <v>2018/08/11 13:31:44</v>
      </c>
      <c r="AA1139" t="str">
        <f t="shared" si="451"/>
        <v>catc</v>
      </c>
      <c r="AC1139" t="str">
        <f>("F911")</f>
        <v>F911</v>
      </c>
      <c r="AE1139" t="str">
        <f t="shared" si="462"/>
        <v>c.1</v>
      </c>
      <c r="AF1139" t="str">
        <f t="shared" si="472"/>
        <v>1.可借圖書</v>
      </c>
      <c r="AG1139" t="str">
        <f t="shared" si="473"/>
        <v>在架</v>
      </c>
      <c r="AI1139" t="s">
        <v>65</v>
      </c>
      <c r="AK1139" t="str">
        <f t="shared" si="452"/>
        <v>一般(Normal)</v>
      </c>
      <c r="AO1139" t="s">
        <v>65</v>
      </c>
      <c r="AS1139" t="str">
        <f>("c2000.")</f>
        <v>c2000.</v>
      </c>
      <c r="AT1139" t="str">
        <f t="shared" si="453"/>
        <v>catc</v>
      </c>
    </row>
    <row r="1140" spans="2:48" x14ac:dyDescent="0.25">
      <c r="B1140" t="str">
        <f>("290488")</f>
        <v>290488</v>
      </c>
      <c r="C1140" t="str">
        <f>("W00003210")</f>
        <v>W00003210</v>
      </c>
      <c r="D1140" t="str">
        <f>("High performance sales organizations :achieving competitive advantage in the global marketplace /")</f>
        <v>High performance sales organizations :achieving competitive advantage in the global marketplace /</v>
      </c>
      <c r="E1140" t="str">
        <f>("Coker, Darlene M.")</f>
        <v>Coker, Darlene M.</v>
      </c>
      <c r="F1140" t="str">
        <f>("McGraw-Hill,")</f>
        <v>McGraw-Hill,</v>
      </c>
      <c r="G1140" t="str">
        <f>("2nd ed.")</f>
        <v>2nd ed.</v>
      </c>
      <c r="H1140" t="str">
        <f t="shared" si="470"/>
        <v>圖書 book</v>
      </c>
      <c r="I1140" t="str">
        <f>("HF5438.4 H638 2000")</f>
        <v>HF5438.4 H638 2000</v>
      </c>
      <c r="J1140" t="str">
        <f>("0071351604")</f>
        <v>0071351604</v>
      </c>
      <c r="K1140" t="str">
        <f t="shared" si="450"/>
        <v>0</v>
      </c>
      <c r="L1140" t="str">
        <f>("2001/10/16 00:00:00")</f>
        <v>2001/10/16 00:00:00</v>
      </c>
      <c r="M1140" t="str">
        <f>("2018/08/11 13:36:31")</f>
        <v>2018/08/11 13:36:31</v>
      </c>
      <c r="N1140" t="str">
        <f>("2000")</f>
        <v>2000</v>
      </c>
      <c r="O1140" t="str">
        <f t="shared" si="471"/>
        <v>4F西文書庫 4F Western Language Books</v>
      </c>
      <c r="P1140" t="s">
        <v>64</v>
      </c>
      <c r="W1140" t="str">
        <f t="shared" si="443"/>
        <v>美國國會圖書分類法</v>
      </c>
      <c r="Y1140" t="str">
        <f>("HF5438.4")</f>
        <v>HF5438.4</v>
      </c>
      <c r="Z1140" t="str">
        <f>("2018/08/11 13:36:31")</f>
        <v>2018/08/11 13:36:31</v>
      </c>
      <c r="AA1140" t="str">
        <f t="shared" si="451"/>
        <v>catc</v>
      </c>
      <c r="AC1140" t="str">
        <f>("H638")</f>
        <v>H638</v>
      </c>
      <c r="AE1140" t="str">
        <f t="shared" si="462"/>
        <v>c.1</v>
      </c>
      <c r="AF1140" t="str">
        <f t="shared" si="472"/>
        <v>1.可借圖書</v>
      </c>
      <c r="AG1140" t="str">
        <f t="shared" si="473"/>
        <v>在架</v>
      </c>
      <c r="AI1140" t="s">
        <v>65</v>
      </c>
      <c r="AK1140" t="str">
        <f t="shared" si="452"/>
        <v>一般(Normal)</v>
      </c>
      <c r="AO1140" t="s">
        <v>65</v>
      </c>
      <c r="AS1140" t="str">
        <f>("c2000.")</f>
        <v>c2000.</v>
      </c>
      <c r="AT1140" t="str">
        <f t="shared" si="453"/>
        <v>catc</v>
      </c>
    </row>
    <row r="1141" spans="2:48" x14ac:dyDescent="0.25">
      <c r="B1141" t="str">
        <f>("287688")</f>
        <v>287688</v>
      </c>
      <c r="C1141" t="str">
        <f>("W00003211")</f>
        <v>W00003211</v>
      </c>
      <c r="D1141" t="str">
        <f>("Information orientation :the new business performance metric /")</f>
        <v>Information orientation :the new business performance metric /</v>
      </c>
      <c r="E1141" t="str">
        <f>("Marchand, Donald A.")</f>
        <v>Marchand, Donald A.</v>
      </c>
      <c r="F1141" t="str">
        <f>("Oxford University Press,")</f>
        <v>Oxford University Press,</v>
      </c>
      <c r="H1141" t="str">
        <f t="shared" si="470"/>
        <v>圖書 book</v>
      </c>
      <c r="I1141" t="str">
        <f>("HD30.3 M315 2001")</f>
        <v>HD30.3 M315 2001</v>
      </c>
      <c r="J1141" t="str">
        <f>("0199240671")</f>
        <v>0199240671</v>
      </c>
      <c r="K1141" t="str">
        <f t="shared" si="450"/>
        <v>0</v>
      </c>
      <c r="L1141" t="str">
        <f>("2001/10/10 00:00:00")</f>
        <v>2001/10/10 00:00:00</v>
      </c>
      <c r="M1141" t="str">
        <f>("2018/08/11 13:31:44")</f>
        <v>2018/08/11 13:31:44</v>
      </c>
      <c r="N1141" t="str">
        <f>("2001")</f>
        <v>2001</v>
      </c>
      <c r="O1141" t="str">
        <f t="shared" si="471"/>
        <v>4F西文書庫 4F Western Language Books</v>
      </c>
      <c r="P1141" t="s">
        <v>64</v>
      </c>
      <c r="W1141" t="str">
        <f t="shared" ref="W1141:W1204" si="474">("美國國會圖書分類法")</f>
        <v>美國國會圖書分類法</v>
      </c>
      <c r="Y1141" t="str">
        <f>("HD30.3")</f>
        <v>HD30.3</v>
      </c>
      <c r="Z1141" t="str">
        <f>("2018/08/11 13:31:44")</f>
        <v>2018/08/11 13:31:44</v>
      </c>
      <c r="AA1141" t="str">
        <f t="shared" si="451"/>
        <v>catc</v>
      </c>
      <c r="AC1141" t="str">
        <f>("M315")</f>
        <v>M315</v>
      </c>
      <c r="AE1141" t="str">
        <f t="shared" si="462"/>
        <v>c.1</v>
      </c>
      <c r="AF1141" t="str">
        <f t="shared" si="472"/>
        <v>1.可借圖書</v>
      </c>
      <c r="AG1141" t="str">
        <f t="shared" si="473"/>
        <v>在架</v>
      </c>
      <c r="AI1141" t="s">
        <v>65</v>
      </c>
      <c r="AK1141" t="str">
        <f t="shared" si="452"/>
        <v>一般(Normal)</v>
      </c>
      <c r="AO1141" t="s">
        <v>65</v>
      </c>
      <c r="AS1141" t="str">
        <f>("2001.")</f>
        <v>2001.</v>
      </c>
      <c r="AT1141" t="str">
        <f t="shared" si="453"/>
        <v>catc</v>
      </c>
    </row>
    <row r="1142" spans="2:48" x14ac:dyDescent="0.25">
      <c r="B1142" t="str">
        <f>("287689")</f>
        <v>287689</v>
      </c>
      <c r="C1142" t="str">
        <f>("W00003212")</f>
        <v>W00003212</v>
      </c>
      <c r="D1142" t="str">
        <f>("Managing intellectual capital :organizational, strategic, and policy dimensions /")</f>
        <v>Managing intellectual capital :organizational, strategic, and policy dimensions /</v>
      </c>
      <c r="E1142" t="str">
        <f>("Teece, David J.")</f>
        <v>Teece, David J.</v>
      </c>
      <c r="F1142" t="str">
        <f>("Oxford University Press,")</f>
        <v>Oxford University Press,</v>
      </c>
      <c r="H1142" t="str">
        <f t="shared" si="470"/>
        <v>圖書 book</v>
      </c>
      <c r="I1142" t="str">
        <f>("HD30.2 T258 2000")</f>
        <v>HD30.2 T258 2000</v>
      </c>
      <c r="J1142" t="str">
        <f>("0198295413")</f>
        <v>0198295413</v>
      </c>
      <c r="K1142" t="str">
        <f t="shared" si="450"/>
        <v>0</v>
      </c>
      <c r="L1142" t="str">
        <f>("2001/10/10 00:00:00")</f>
        <v>2001/10/10 00:00:00</v>
      </c>
      <c r="M1142" t="str">
        <f>("2018/08/11 13:31:44")</f>
        <v>2018/08/11 13:31:44</v>
      </c>
      <c r="N1142" t="str">
        <f>("2000")</f>
        <v>2000</v>
      </c>
      <c r="O1142" t="str">
        <f t="shared" si="471"/>
        <v>4F西文書庫 4F Western Language Books</v>
      </c>
      <c r="P1142" t="s">
        <v>64</v>
      </c>
      <c r="W1142" t="str">
        <f t="shared" si="474"/>
        <v>美國國會圖書分類法</v>
      </c>
      <c r="Y1142" t="str">
        <f>("HD30.2")</f>
        <v>HD30.2</v>
      </c>
      <c r="Z1142" t="str">
        <f>("2018/08/11 13:31:44")</f>
        <v>2018/08/11 13:31:44</v>
      </c>
      <c r="AA1142" t="str">
        <f t="shared" si="451"/>
        <v>catc</v>
      </c>
      <c r="AC1142" t="str">
        <f>("T258")</f>
        <v>T258</v>
      </c>
      <c r="AE1142" t="str">
        <f t="shared" si="462"/>
        <v>c.1</v>
      </c>
      <c r="AF1142" t="str">
        <f t="shared" si="472"/>
        <v>1.可借圖書</v>
      </c>
      <c r="AG1142" t="str">
        <f t="shared" si="473"/>
        <v>在架</v>
      </c>
      <c r="AI1142" t="s">
        <v>65</v>
      </c>
      <c r="AK1142" t="str">
        <f t="shared" si="452"/>
        <v>一般(Normal)</v>
      </c>
      <c r="AO1142" t="s">
        <v>65</v>
      </c>
      <c r="AS1142" t="str">
        <f>("2000.")</f>
        <v>2000.</v>
      </c>
      <c r="AT1142" t="str">
        <f t="shared" si="453"/>
        <v>catc</v>
      </c>
    </row>
    <row r="1143" spans="2:48" x14ac:dyDescent="0.25">
      <c r="B1143" t="str">
        <f>("287690")</f>
        <v>287690</v>
      </c>
      <c r="C1143" t="str">
        <f>("W00003213")</f>
        <v>W00003213</v>
      </c>
      <c r="D1143" t="str">
        <f>("Managing interactively :executing business strategy, improving communication, and creating a knowledge-sharing culture /")</f>
        <v>Managing interactively :executing business strategy, improving communication, and creating a knowledge-sharing culture /</v>
      </c>
      <c r="E1143" t="str">
        <f>("Boone, Mary E.")</f>
        <v>Boone, Mary E.</v>
      </c>
      <c r="F1143" t="str">
        <f>("McGraw-Hill,")</f>
        <v>McGraw-Hill,</v>
      </c>
      <c r="H1143" t="str">
        <f t="shared" si="470"/>
        <v>圖書 book</v>
      </c>
      <c r="I1143" t="str">
        <f>("HD30.3 B724 2001")</f>
        <v>HD30.3 B724 2001</v>
      </c>
      <c r="J1143" t="str">
        <f>("0071358668")</f>
        <v>0071358668</v>
      </c>
      <c r="K1143" t="str">
        <f t="shared" si="450"/>
        <v>0</v>
      </c>
      <c r="L1143" t="str">
        <f>("2001/10/10 00:00:00")</f>
        <v>2001/10/10 00:00:00</v>
      </c>
      <c r="M1143" t="str">
        <f>("2018/08/11 13:31:44")</f>
        <v>2018/08/11 13:31:44</v>
      </c>
      <c r="N1143" t="str">
        <f>("2001")</f>
        <v>2001</v>
      </c>
      <c r="O1143" t="str">
        <f t="shared" si="471"/>
        <v>4F西文書庫 4F Western Language Books</v>
      </c>
      <c r="P1143" t="s">
        <v>64</v>
      </c>
      <c r="W1143" t="str">
        <f t="shared" si="474"/>
        <v>美國國會圖書分類法</v>
      </c>
      <c r="Y1143" t="str">
        <f>("HD30.3")</f>
        <v>HD30.3</v>
      </c>
      <c r="Z1143" t="str">
        <f>("2018/08/11 13:31:44")</f>
        <v>2018/08/11 13:31:44</v>
      </c>
      <c r="AA1143" t="str">
        <f t="shared" si="451"/>
        <v>catc</v>
      </c>
      <c r="AC1143" t="str">
        <f>("B724")</f>
        <v>B724</v>
      </c>
      <c r="AE1143" t="str">
        <f t="shared" si="462"/>
        <v>c.1</v>
      </c>
      <c r="AF1143" t="str">
        <f t="shared" si="472"/>
        <v>1.可借圖書</v>
      </c>
      <c r="AG1143" t="str">
        <f t="shared" si="473"/>
        <v>在架</v>
      </c>
      <c r="AI1143" t="s">
        <v>65</v>
      </c>
      <c r="AK1143" t="str">
        <f t="shared" si="452"/>
        <v>一般(Normal)</v>
      </c>
      <c r="AO1143" t="s">
        <v>65</v>
      </c>
      <c r="AS1143" t="str">
        <f>("c2001.")</f>
        <v>c2001.</v>
      </c>
      <c r="AT1143" t="str">
        <f t="shared" si="453"/>
        <v>catc</v>
      </c>
    </row>
    <row r="1144" spans="2:48" x14ac:dyDescent="0.25">
      <c r="B1144" t="str">
        <f>("287743")</f>
        <v>287743</v>
      </c>
      <c r="C1144" t="str">
        <f>("W00003214")</f>
        <v>W00003214</v>
      </c>
      <c r="D1144" t="str">
        <f>("Marketing for the nonmarketing executive :an integrated resource management guide for the 21st century /")</f>
        <v>Marketing for the nonmarketing executive :an integrated resource management guide for the 21st century /</v>
      </c>
      <c r="E1144" t="str">
        <f>("Paley, Norton.")</f>
        <v>Paley, Norton.</v>
      </c>
      <c r="F1144" t="str">
        <f>("St. Lucie Press,")</f>
        <v>St. Lucie Press,</v>
      </c>
      <c r="H1144" t="str">
        <f t="shared" si="470"/>
        <v>圖書 book</v>
      </c>
      <c r="I1144" t="str">
        <f>("HF5415 P158 2001")</f>
        <v>HF5415 P158 2001</v>
      </c>
      <c r="J1144" t="str">
        <f>("1574442864")</f>
        <v>1574442864</v>
      </c>
      <c r="K1144" t="str">
        <f t="shared" si="450"/>
        <v>0</v>
      </c>
      <c r="L1144" t="str">
        <f>("2001/10/10 00:00:00")</f>
        <v>2001/10/10 00:00:00</v>
      </c>
      <c r="M1144" t="str">
        <f>("2018/08/11 13:31:49")</f>
        <v>2018/08/11 13:31:49</v>
      </c>
      <c r="N1144" t="str">
        <f>("2001")</f>
        <v>2001</v>
      </c>
      <c r="O1144" t="str">
        <f t="shared" si="471"/>
        <v>4F西文書庫 4F Western Language Books</v>
      </c>
      <c r="P1144" t="s">
        <v>64</v>
      </c>
      <c r="W1144" t="str">
        <f t="shared" si="474"/>
        <v>美國國會圖書分類法</v>
      </c>
      <c r="Y1144" t="str">
        <f>("HF5415")</f>
        <v>HF5415</v>
      </c>
      <c r="Z1144" t="str">
        <f>("2018/08/11 13:31:49")</f>
        <v>2018/08/11 13:31:49</v>
      </c>
      <c r="AA1144" t="str">
        <f t="shared" si="451"/>
        <v>catc</v>
      </c>
      <c r="AC1144" t="str">
        <f>("P158")</f>
        <v>P158</v>
      </c>
      <c r="AE1144" t="str">
        <f t="shared" si="462"/>
        <v>c.1</v>
      </c>
      <c r="AF1144" t="str">
        <f t="shared" si="472"/>
        <v>1.可借圖書</v>
      </c>
      <c r="AG1144" t="str">
        <f t="shared" si="473"/>
        <v>在架</v>
      </c>
      <c r="AI1144" t="s">
        <v>65</v>
      </c>
      <c r="AK1144" t="str">
        <f t="shared" si="452"/>
        <v>一般(Normal)</v>
      </c>
      <c r="AO1144" t="s">
        <v>65</v>
      </c>
      <c r="AS1144" t="str">
        <f>("c2001.")</f>
        <v>c2001.</v>
      </c>
      <c r="AT1144" t="str">
        <f t="shared" si="453"/>
        <v>catc</v>
      </c>
    </row>
    <row r="1145" spans="2:48" x14ac:dyDescent="0.25">
      <c r="B1145" t="str">
        <f>("287691")</f>
        <v>287691</v>
      </c>
      <c r="C1145" t="str">
        <f>("W00003215")</f>
        <v>W00003215</v>
      </c>
      <c r="D1145" t="str">
        <f>("Ownership and value creation :strategic corporate governance in the new economy /")</f>
        <v>Ownership and value creation :strategic corporate governance in the new economy /</v>
      </c>
      <c r="E1145" t="str">
        <f>("Carlsson, Rolf H.,1940-")</f>
        <v>Carlsson, Rolf H.,1940-</v>
      </c>
      <c r="F1145" t="str">
        <f>("J. Wiley,")</f>
        <v>J. Wiley,</v>
      </c>
      <c r="H1145" t="str">
        <f t="shared" si="470"/>
        <v>圖書 book</v>
      </c>
      <c r="I1145" t="str">
        <f>("HD2741 C284 2001")</f>
        <v>HD2741 C284 2001</v>
      </c>
      <c r="J1145" t="str">
        <f>("0471632198")</f>
        <v>0471632198</v>
      </c>
      <c r="K1145" t="str">
        <f t="shared" si="450"/>
        <v>0</v>
      </c>
      <c r="L1145" t="str">
        <f>("2001/10/10 00:00:00")</f>
        <v>2001/10/10 00:00:00</v>
      </c>
      <c r="M1145" t="str">
        <f>("2018/08/11 13:31:44")</f>
        <v>2018/08/11 13:31:44</v>
      </c>
      <c r="N1145" t="str">
        <f>("2001")</f>
        <v>2001</v>
      </c>
      <c r="O1145" t="str">
        <f t="shared" si="471"/>
        <v>4F西文書庫 4F Western Language Books</v>
      </c>
      <c r="P1145" t="s">
        <v>64</v>
      </c>
      <c r="W1145" t="str">
        <f t="shared" si="474"/>
        <v>美國國會圖書分類法</v>
      </c>
      <c r="Y1145" t="str">
        <f>("HD2741")</f>
        <v>HD2741</v>
      </c>
      <c r="Z1145" t="str">
        <f>("2018/08/11 13:31:44")</f>
        <v>2018/08/11 13:31:44</v>
      </c>
      <c r="AA1145" t="str">
        <f t="shared" si="451"/>
        <v>catc</v>
      </c>
      <c r="AC1145" t="str">
        <f>("C284")</f>
        <v>C284</v>
      </c>
      <c r="AE1145" t="str">
        <f t="shared" si="462"/>
        <v>c.1</v>
      </c>
      <c r="AF1145" t="str">
        <f t="shared" si="472"/>
        <v>1.可借圖書</v>
      </c>
      <c r="AG1145" t="str">
        <f t="shared" si="473"/>
        <v>在架</v>
      </c>
      <c r="AI1145" t="s">
        <v>65</v>
      </c>
      <c r="AK1145" t="str">
        <f t="shared" si="452"/>
        <v>一般(Normal)</v>
      </c>
      <c r="AO1145" t="s">
        <v>65</v>
      </c>
      <c r="AS1145" t="str">
        <f>("c2001.")</f>
        <v>c2001.</v>
      </c>
      <c r="AT1145" t="str">
        <f t="shared" si="453"/>
        <v>catc</v>
      </c>
      <c r="AV1145" t="str">
        <f>("http://www.loc.gov/catdir/bios/wiley043/2001271260.html;http://www.loc.gov/catdir/description/wiley035/2001271260.html;http://www.loc.gov/catdir/toc/onix06/2001271260.html")</f>
        <v>http://www.loc.gov/catdir/bios/wiley043/2001271260.html;http://www.loc.gov/catdir/description/wiley035/2001271260.html;http://www.loc.gov/catdir/toc/onix06/2001271260.html</v>
      </c>
    </row>
    <row r="1146" spans="2:48" x14ac:dyDescent="0.25">
      <c r="B1146" t="str">
        <f>("290509")</f>
        <v>290509</v>
      </c>
      <c r="C1146" t="str">
        <f>("W00003216")</f>
        <v>W00003216</v>
      </c>
      <c r="D1146" t="str">
        <f>("Teaching &amp; learning onlinenew pedagogies for new technologies /")</f>
        <v>Teaching &amp; learning onlinenew pedagogies for new technologies /</v>
      </c>
      <c r="E1146" t="str">
        <f>("Stephenson, John,1939-")</f>
        <v>Stephenson, John,1939-</v>
      </c>
      <c r="F1146" t="str">
        <f>("Kogan Page,")</f>
        <v>Kogan Page,</v>
      </c>
      <c r="H1146" t="str">
        <f t="shared" si="470"/>
        <v>圖書 book</v>
      </c>
      <c r="I1146" t="str">
        <f>("LB1028.5 T253 2001")</f>
        <v>LB1028.5 T253 2001</v>
      </c>
      <c r="J1146" t="str">
        <f>("0749435119")</f>
        <v>0749435119</v>
      </c>
      <c r="K1146" t="str">
        <f t="shared" si="450"/>
        <v>0</v>
      </c>
      <c r="L1146" t="str">
        <f>("2001/10/16 00:00:00")</f>
        <v>2001/10/16 00:00:00</v>
      </c>
      <c r="M1146" t="str">
        <f>("2018/08/11 13:36:31")</f>
        <v>2018/08/11 13:36:31</v>
      </c>
      <c r="N1146" t="str">
        <f>("2001")</f>
        <v>2001</v>
      </c>
      <c r="O1146" t="str">
        <f t="shared" si="471"/>
        <v>4F西文書庫 4F Western Language Books</v>
      </c>
      <c r="P1146" t="s">
        <v>64</v>
      </c>
      <c r="W1146" t="str">
        <f t="shared" si="474"/>
        <v>美國國會圖書分類法</v>
      </c>
      <c r="Y1146" t="str">
        <f>("LB1028.5")</f>
        <v>LB1028.5</v>
      </c>
      <c r="Z1146" t="str">
        <f>("2018/08/11 13:36:31")</f>
        <v>2018/08/11 13:36:31</v>
      </c>
      <c r="AA1146" t="str">
        <f t="shared" si="451"/>
        <v>catc</v>
      </c>
      <c r="AC1146" t="str">
        <f>("T253")</f>
        <v>T253</v>
      </c>
      <c r="AE1146" t="str">
        <f t="shared" si="462"/>
        <v>c.1</v>
      </c>
      <c r="AF1146" t="str">
        <f t="shared" si="472"/>
        <v>1.可借圖書</v>
      </c>
      <c r="AG1146" t="str">
        <f t="shared" si="473"/>
        <v>在架</v>
      </c>
      <c r="AI1146" t="s">
        <v>65</v>
      </c>
      <c r="AK1146" t="str">
        <f t="shared" si="452"/>
        <v>一般(Normal)</v>
      </c>
      <c r="AO1146" t="s">
        <v>65</v>
      </c>
      <c r="AS1146" t="str">
        <f>("2001.")</f>
        <v>2001.</v>
      </c>
      <c r="AT1146" t="str">
        <f t="shared" si="453"/>
        <v>catc</v>
      </c>
    </row>
    <row r="1147" spans="2:48" x14ac:dyDescent="0.25">
      <c r="B1147" t="str">
        <f>("290489")</f>
        <v>290489</v>
      </c>
      <c r="C1147" t="str">
        <f>("W00003217")</f>
        <v>W00003217</v>
      </c>
      <c r="D1147" t="str">
        <f>("The innovating organization /")</f>
        <v>The innovating organization /</v>
      </c>
      <c r="E1147" t="str">
        <f>("Pettigrew, Andrew M.;Fenton, Evelyn M.")</f>
        <v>Pettigrew, Andrew M.;Fenton, Evelyn M.</v>
      </c>
      <c r="F1147" t="str">
        <f>("Sage,")</f>
        <v>Sage,</v>
      </c>
      <c r="H1147" t="str">
        <f t="shared" si="470"/>
        <v>圖書 book</v>
      </c>
      <c r="I1147" t="str">
        <f>("HD31 I58 2000")</f>
        <v>HD31 I58 2000</v>
      </c>
      <c r="J1147" t="str">
        <f>("0761964339;0761964347")</f>
        <v>0761964339;0761964347</v>
      </c>
      <c r="K1147" t="str">
        <f t="shared" si="450"/>
        <v>0</v>
      </c>
      <c r="L1147" t="str">
        <f>("2001/10/16 00:00:00")</f>
        <v>2001/10/16 00:00:00</v>
      </c>
      <c r="M1147" t="str">
        <f>("2018/08/11 13:36:31")</f>
        <v>2018/08/11 13:36:31</v>
      </c>
      <c r="N1147" t="str">
        <f>("2000")</f>
        <v>2000</v>
      </c>
      <c r="O1147" t="str">
        <f t="shared" si="471"/>
        <v>4F西文書庫 4F Western Language Books</v>
      </c>
      <c r="P1147" t="s">
        <v>64</v>
      </c>
      <c r="W1147" t="str">
        <f t="shared" si="474"/>
        <v>美國國會圖書分類法</v>
      </c>
      <c r="Y1147" t="str">
        <f>("HD31")</f>
        <v>HD31</v>
      </c>
      <c r="Z1147" t="str">
        <f>("2018/08/11 13:36:31")</f>
        <v>2018/08/11 13:36:31</v>
      </c>
      <c r="AA1147" t="str">
        <f t="shared" si="451"/>
        <v>catc</v>
      </c>
      <c r="AC1147" t="str">
        <f>("I58")</f>
        <v>I58</v>
      </c>
      <c r="AE1147" t="str">
        <f t="shared" si="462"/>
        <v>c.1</v>
      </c>
      <c r="AF1147" t="str">
        <f t="shared" si="472"/>
        <v>1.可借圖書</v>
      </c>
      <c r="AG1147" t="str">
        <f t="shared" si="473"/>
        <v>在架</v>
      </c>
      <c r="AI1147" t="s">
        <v>65</v>
      </c>
      <c r="AK1147" t="str">
        <f t="shared" si="452"/>
        <v>一般(Normal)</v>
      </c>
      <c r="AO1147" t="s">
        <v>65</v>
      </c>
      <c r="AS1147" t="str">
        <f>("2000.")</f>
        <v>2000.</v>
      </c>
      <c r="AT1147" t="str">
        <f t="shared" si="453"/>
        <v>catc</v>
      </c>
    </row>
    <row r="1148" spans="2:48" x14ac:dyDescent="0.25">
      <c r="B1148" t="str">
        <f>("290490")</f>
        <v>290490</v>
      </c>
      <c r="C1148" t="str">
        <f>("W00003218")</f>
        <v>W00003218</v>
      </c>
      <c r="D1148" t="str">
        <f>("The reengineering revolution? :critical studies of corporate change /")</f>
        <v>The reengineering revolution? :critical studies of corporate change /</v>
      </c>
      <c r="E1148" t="str">
        <f>("Knights, David.;Willmott, Hugh.")</f>
        <v>Knights, David.;Willmott, Hugh.</v>
      </c>
      <c r="F1148" t="str">
        <f>("SAGE,")</f>
        <v>SAGE,</v>
      </c>
      <c r="H1148" t="str">
        <f t="shared" si="470"/>
        <v>圖書 book</v>
      </c>
      <c r="I1148" t="str">
        <f>("HD58.87 R327 2000")</f>
        <v>HD58.87 R327 2000</v>
      </c>
      <c r="J1148" t="str">
        <f>("0761962913;0761962921")</f>
        <v>0761962913;0761962921</v>
      </c>
      <c r="K1148" t="str">
        <f t="shared" si="450"/>
        <v>0</v>
      </c>
      <c r="L1148" t="str">
        <f>("2001/10/16 00:00:00")</f>
        <v>2001/10/16 00:00:00</v>
      </c>
      <c r="M1148" t="str">
        <f>("2018/08/11 13:36:31")</f>
        <v>2018/08/11 13:36:31</v>
      </c>
      <c r="N1148" t="str">
        <f>("2000")</f>
        <v>2000</v>
      </c>
      <c r="O1148" t="str">
        <f t="shared" si="471"/>
        <v>4F西文書庫 4F Western Language Books</v>
      </c>
      <c r="P1148" t="s">
        <v>64</v>
      </c>
      <c r="W1148" t="str">
        <f t="shared" si="474"/>
        <v>美國國會圖書分類法</v>
      </c>
      <c r="Y1148" t="str">
        <f>("HD58.87")</f>
        <v>HD58.87</v>
      </c>
      <c r="Z1148" t="str">
        <f>("2018/08/11 13:36:31")</f>
        <v>2018/08/11 13:36:31</v>
      </c>
      <c r="AA1148" t="str">
        <f t="shared" si="451"/>
        <v>catc</v>
      </c>
      <c r="AC1148" t="str">
        <f>("R327")</f>
        <v>R327</v>
      </c>
      <c r="AE1148" t="str">
        <f t="shared" si="462"/>
        <v>c.1</v>
      </c>
      <c r="AF1148" t="str">
        <f t="shared" si="472"/>
        <v>1.可借圖書</v>
      </c>
      <c r="AG1148" t="str">
        <f t="shared" si="473"/>
        <v>在架</v>
      </c>
      <c r="AI1148" t="s">
        <v>65</v>
      </c>
      <c r="AK1148" t="str">
        <f t="shared" si="452"/>
        <v>一般(Normal)</v>
      </c>
      <c r="AO1148" t="s">
        <v>65</v>
      </c>
      <c r="AS1148" t="str">
        <f>("2000.")</f>
        <v>2000.</v>
      </c>
      <c r="AT1148" t="str">
        <f t="shared" si="453"/>
        <v>catc</v>
      </c>
    </row>
    <row r="1149" spans="2:48" x14ac:dyDescent="0.25">
      <c r="B1149" t="str">
        <f>("287695")</f>
        <v>287695</v>
      </c>
      <c r="C1149" t="str">
        <f>("W00003219")</f>
        <v>W00003219</v>
      </c>
      <c r="D1149" t="str">
        <f>("Tourism in global society :place, culture, consumption /")</f>
        <v>Tourism in global society :place, culture, consumption /</v>
      </c>
      <c r="E1149" t="str">
        <f>("Meethan, Kevin.")</f>
        <v>Meethan, Kevin.</v>
      </c>
      <c r="F1149" t="str">
        <f>("Palgrave,")</f>
        <v>Palgrave,</v>
      </c>
      <c r="H1149" t="str">
        <f t="shared" si="470"/>
        <v>圖書 book</v>
      </c>
      <c r="I1149" t="str">
        <f>("G155.A1 M487 2001")</f>
        <v>G155.A1 M487 2001</v>
      </c>
      <c r="J1149" t="str">
        <f>("0333760573;0333760581")</f>
        <v>0333760573;0333760581</v>
      </c>
      <c r="K1149" t="str">
        <f t="shared" si="450"/>
        <v>0</v>
      </c>
      <c r="L1149" t="str">
        <f t="shared" ref="L1149:L1175" si="475">("2001/10/10 00:00:00")</f>
        <v>2001/10/10 00:00:00</v>
      </c>
      <c r="M1149" t="str">
        <f>("2018/08/11 13:31:44")</f>
        <v>2018/08/11 13:31:44</v>
      </c>
      <c r="N1149" t="str">
        <f>("2001")</f>
        <v>2001</v>
      </c>
      <c r="O1149" t="str">
        <f t="shared" si="471"/>
        <v>4F西文書庫 4F Western Language Books</v>
      </c>
      <c r="P1149" t="s">
        <v>64</v>
      </c>
      <c r="W1149" t="str">
        <f t="shared" si="474"/>
        <v>美國國會圖書分類法</v>
      </c>
      <c r="Y1149" t="str">
        <f>("G155.A1")</f>
        <v>G155.A1</v>
      </c>
      <c r="Z1149" t="str">
        <f t="shared" ref="Z1149:Z1154" si="476">("2018/08/11 13:31:44")</f>
        <v>2018/08/11 13:31:44</v>
      </c>
      <c r="AA1149" t="str">
        <f t="shared" si="451"/>
        <v>catc</v>
      </c>
      <c r="AC1149" t="str">
        <f>("M487")</f>
        <v>M487</v>
      </c>
      <c r="AE1149" t="str">
        <f t="shared" si="462"/>
        <v>c.1</v>
      </c>
      <c r="AF1149" t="str">
        <f t="shared" si="472"/>
        <v>1.可借圖書</v>
      </c>
      <c r="AG1149" t="str">
        <f t="shared" si="473"/>
        <v>在架</v>
      </c>
      <c r="AI1149" t="s">
        <v>65</v>
      </c>
      <c r="AK1149" t="str">
        <f t="shared" si="452"/>
        <v>一般(Normal)</v>
      </c>
      <c r="AO1149" t="s">
        <v>65</v>
      </c>
      <c r="AS1149" t="str">
        <f>("2001.")</f>
        <v>2001.</v>
      </c>
      <c r="AT1149" t="str">
        <f t="shared" si="453"/>
        <v>catc</v>
      </c>
    </row>
    <row r="1150" spans="2:48" x14ac:dyDescent="0.25">
      <c r="B1150" t="str">
        <f>("287692")</f>
        <v>287692</v>
      </c>
      <c r="C1150" t="str">
        <f>("W00003220")</f>
        <v>W00003220</v>
      </c>
      <c r="D1150" t="str">
        <f>("Citizen brandshow good business can be good for business /")</f>
        <v>Citizen brandshow good business can be good for business /</v>
      </c>
      <c r="E1150" t="str">
        <f>("Willmott, Michael.")</f>
        <v>Willmott, Michael.</v>
      </c>
      <c r="F1150" t="str">
        <f>("John Wiley &amp; Sons,")</f>
        <v>John Wiley &amp; Sons,</v>
      </c>
      <c r="H1150" t="str">
        <f t="shared" si="470"/>
        <v>圖書 book</v>
      </c>
      <c r="I1150" t="str">
        <f>("HD60 W738 2001")</f>
        <v>HD60 W738 2001</v>
      </c>
      <c r="J1150" t="str">
        <f>("0471492124")</f>
        <v>0471492124</v>
      </c>
      <c r="K1150" t="str">
        <f t="shared" si="450"/>
        <v>0</v>
      </c>
      <c r="L1150" t="str">
        <f t="shared" si="475"/>
        <v>2001/10/10 00:00:00</v>
      </c>
      <c r="M1150" t="str">
        <f>("2018/08/11 13:31:44")</f>
        <v>2018/08/11 13:31:44</v>
      </c>
      <c r="N1150" t="str">
        <f>("2001")</f>
        <v>2001</v>
      </c>
      <c r="O1150" t="str">
        <f t="shared" si="471"/>
        <v>4F西文書庫 4F Western Language Books</v>
      </c>
      <c r="P1150" t="s">
        <v>64</v>
      </c>
      <c r="W1150" t="str">
        <f t="shared" si="474"/>
        <v>美國國會圖書分類法</v>
      </c>
      <c r="Y1150" t="str">
        <f>("HD60")</f>
        <v>HD60</v>
      </c>
      <c r="Z1150" t="str">
        <f t="shared" si="476"/>
        <v>2018/08/11 13:31:44</v>
      </c>
      <c r="AA1150" t="str">
        <f t="shared" si="451"/>
        <v>catc</v>
      </c>
      <c r="AC1150" t="str">
        <f>("W738")</f>
        <v>W738</v>
      </c>
      <c r="AE1150" t="str">
        <f t="shared" si="462"/>
        <v>c.1</v>
      </c>
      <c r="AF1150" t="str">
        <f t="shared" si="472"/>
        <v>1.可借圖書</v>
      </c>
      <c r="AG1150" t="str">
        <f t="shared" si="473"/>
        <v>在架</v>
      </c>
      <c r="AI1150" t="s">
        <v>65</v>
      </c>
      <c r="AK1150" t="str">
        <f t="shared" si="452"/>
        <v>一般(Normal)</v>
      </c>
      <c r="AO1150" t="s">
        <v>65</v>
      </c>
      <c r="AS1150" t="str">
        <f>("2001.")</f>
        <v>2001.</v>
      </c>
      <c r="AT1150" t="str">
        <f t="shared" si="453"/>
        <v>catc</v>
      </c>
    </row>
    <row r="1151" spans="2:48" x14ac:dyDescent="0.25">
      <c r="B1151" t="str">
        <f>("287693")</f>
        <v>287693</v>
      </c>
      <c r="C1151" t="str">
        <f>("W00003221")</f>
        <v>W00003221</v>
      </c>
      <c r="D1151" t="str">
        <f>("Coaching, counseling &amp; mentoring :how to choose &amp; use the right technique to boost employee performance /")</f>
        <v>Coaching, counseling &amp; mentoring :how to choose &amp; use the right technique to boost employee performance /</v>
      </c>
      <c r="E1151" t="str">
        <f>("Stone, Florence M.")</f>
        <v>Stone, Florence M.</v>
      </c>
      <c r="F1151" t="str">
        <f>("AMACOM,")</f>
        <v>AMACOM,</v>
      </c>
      <c r="H1151" t="str">
        <f t="shared" si="470"/>
        <v>圖書 book</v>
      </c>
      <c r="I1151" t="str">
        <f>("HD5385 S877 1999")</f>
        <v>HD5385 S877 1999</v>
      </c>
      <c r="J1151" t="str">
        <f>("0814404162")</f>
        <v>0814404162</v>
      </c>
      <c r="K1151" t="str">
        <f t="shared" si="450"/>
        <v>0</v>
      </c>
      <c r="L1151" t="str">
        <f t="shared" si="475"/>
        <v>2001/10/10 00:00:00</v>
      </c>
      <c r="M1151" t="str">
        <f>("2018/08/11 13:31:44")</f>
        <v>2018/08/11 13:31:44</v>
      </c>
      <c r="N1151" t="str">
        <f>("1999")</f>
        <v>1999</v>
      </c>
      <c r="O1151" t="str">
        <f t="shared" si="471"/>
        <v>4F西文書庫 4F Western Language Books</v>
      </c>
      <c r="P1151" t="s">
        <v>64</v>
      </c>
      <c r="W1151" t="str">
        <f t="shared" si="474"/>
        <v>美國國會圖書分類法</v>
      </c>
      <c r="Y1151" t="str">
        <f>("HD5385")</f>
        <v>HD5385</v>
      </c>
      <c r="Z1151" t="str">
        <f t="shared" si="476"/>
        <v>2018/08/11 13:31:44</v>
      </c>
      <c r="AA1151" t="str">
        <f t="shared" si="451"/>
        <v>catc</v>
      </c>
      <c r="AC1151" t="str">
        <f>("S877")</f>
        <v>S877</v>
      </c>
      <c r="AE1151" t="str">
        <f t="shared" si="462"/>
        <v>c.1</v>
      </c>
      <c r="AF1151" t="str">
        <f t="shared" si="472"/>
        <v>1.可借圖書</v>
      </c>
      <c r="AG1151" t="str">
        <f t="shared" si="473"/>
        <v>在架</v>
      </c>
      <c r="AI1151" t="s">
        <v>65</v>
      </c>
      <c r="AK1151" t="str">
        <f t="shared" si="452"/>
        <v>一般(Normal)</v>
      </c>
      <c r="AO1151" t="s">
        <v>65</v>
      </c>
      <c r="AS1151" t="str">
        <f>("c1999.")</f>
        <v>c1999.</v>
      </c>
      <c r="AT1151" t="str">
        <f t="shared" si="453"/>
        <v>catc</v>
      </c>
    </row>
    <row r="1152" spans="2:48" x14ac:dyDescent="0.25">
      <c r="B1152" t="str">
        <f>("287694")</f>
        <v>287694</v>
      </c>
      <c r="C1152" t="str">
        <f>("W00003222")</f>
        <v>W00003222</v>
      </c>
      <c r="D1152" t="str">
        <f>("In search of management :culture, chaos and control in managerial work /")</f>
        <v>In search of management :culture, chaos and control in managerial work /</v>
      </c>
      <c r="E1152" t="str">
        <f>("Watson, Tony J.  ")</f>
        <v xml:space="preserve">Watson, Tony J.  </v>
      </c>
      <c r="F1152" t="str">
        <f>("Thomson Learning,")</f>
        <v>Thomson Learning,</v>
      </c>
      <c r="G1152" t="str">
        <f>("Revised ed.")</f>
        <v>Revised ed.</v>
      </c>
      <c r="H1152" t="str">
        <f t="shared" si="470"/>
        <v>圖書 book</v>
      </c>
      <c r="I1152" t="str">
        <f>("HD38 W342 2001")</f>
        <v>HD38 W342 2001</v>
      </c>
      <c r="J1152" t="str">
        <f>("0415092302;0415092310")</f>
        <v>0415092302;0415092310</v>
      </c>
      <c r="K1152" t="str">
        <f t="shared" si="450"/>
        <v>0</v>
      </c>
      <c r="L1152" t="str">
        <f t="shared" si="475"/>
        <v>2001/10/10 00:00:00</v>
      </c>
      <c r="M1152" t="str">
        <f>("2018/08/11 13:31:44")</f>
        <v>2018/08/11 13:31:44</v>
      </c>
      <c r="N1152" t="str">
        <f>("2001")</f>
        <v>2001</v>
      </c>
      <c r="O1152" t="str">
        <f t="shared" si="471"/>
        <v>4F西文書庫 4F Western Language Books</v>
      </c>
      <c r="P1152" t="s">
        <v>64</v>
      </c>
      <c r="W1152" t="str">
        <f t="shared" si="474"/>
        <v>美國國會圖書分類法</v>
      </c>
      <c r="Y1152" t="str">
        <f>("HD38")</f>
        <v>HD38</v>
      </c>
      <c r="Z1152" t="str">
        <f t="shared" si="476"/>
        <v>2018/08/11 13:31:44</v>
      </c>
      <c r="AA1152" t="str">
        <f t="shared" si="451"/>
        <v>catc</v>
      </c>
      <c r="AC1152" t="str">
        <f>("W342")</f>
        <v>W342</v>
      </c>
      <c r="AE1152" t="str">
        <f t="shared" si="462"/>
        <v>c.1</v>
      </c>
      <c r="AF1152" t="str">
        <f t="shared" si="472"/>
        <v>1.可借圖書</v>
      </c>
      <c r="AG1152" t="str">
        <f t="shared" si="473"/>
        <v>在架</v>
      </c>
      <c r="AI1152" t="s">
        <v>65</v>
      </c>
      <c r="AK1152" t="str">
        <f t="shared" si="452"/>
        <v>一般(Normal)</v>
      </c>
      <c r="AO1152" t="s">
        <v>65</v>
      </c>
      <c r="AS1152" t="str">
        <f>("2001.")</f>
        <v>2001.</v>
      </c>
      <c r="AT1152" t="str">
        <f t="shared" si="453"/>
        <v>catc</v>
      </c>
    </row>
    <row r="1153" spans="2:46" x14ac:dyDescent="0.25">
      <c r="B1153" t="str">
        <f>("287697")</f>
        <v>287697</v>
      </c>
      <c r="C1153" t="str">
        <f>("W00003223")</f>
        <v>W00003223</v>
      </c>
      <c r="D1153" t="str">
        <f>("Integrated learning for ERP success :a learning requirements planning approach /")</f>
        <v>Integrated learning for ERP success :a learning requirements planning approach /</v>
      </c>
      <c r="E1153" t="str">
        <f>("Kapp, Karl M.")</f>
        <v>Kapp, Karl M.</v>
      </c>
      <c r="F1153" t="str">
        <f>("St. Lucie Press,")</f>
        <v>St. Lucie Press,</v>
      </c>
      <c r="H1153" t="str">
        <f t="shared" si="470"/>
        <v>圖書 book</v>
      </c>
      <c r="I1153" t="str">
        <f>("HD58.82 K17 2001")</f>
        <v>HD58.82 K17 2001</v>
      </c>
      <c r="J1153" t="str">
        <f>("1574442961")</f>
        <v>1574442961</v>
      </c>
      <c r="K1153" t="str">
        <f t="shared" si="450"/>
        <v>0</v>
      </c>
      <c r="L1153" t="str">
        <f t="shared" si="475"/>
        <v>2001/10/10 00:00:00</v>
      </c>
      <c r="M1153" t="str">
        <f>("2018/08/11 13:31:45")</f>
        <v>2018/08/11 13:31:45</v>
      </c>
      <c r="N1153" t="str">
        <f>("2001")</f>
        <v>2001</v>
      </c>
      <c r="O1153" t="str">
        <f t="shared" si="471"/>
        <v>4F西文書庫 4F Western Language Books</v>
      </c>
      <c r="P1153" t="s">
        <v>64</v>
      </c>
      <c r="W1153" t="str">
        <f t="shared" si="474"/>
        <v>美國國會圖書分類法</v>
      </c>
      <c r="Y1153" t="str">
        <f>("HD58.82")</f>
        <v>HD58.82</v>
      </c>
      <c r="Z1153" t="str">
        <f t="shared" si="476"/>
        <v>2018/08/11 13:31:44</v>
      </c>
      <c r="AA1153" t="str">
        <f t="shared" si="451"/>
        <v>catc</v>
      </c>
      <c r="AC1153" t="str">
        <f>("K17")</f>
        <v>K17</v>
      </c>
      <c r="AE1153" t="str">
        <f t="shared" si="462"/>
        <v>c.1</v>
      </c>
      <c r="AF1153" t="str">
        <f t="shared" si="472"/>
        <v>1.可借圖書</v>
      </c>
      <c r="AG1153" t="str">
        <f t="shared" si="473"/>
        <v>在架</v>
      </c>
      <c r="AI1153" t="s">
        <v>65</v>
      </c>
      <c r="AK1153" t="str">
        <f t="shared" si="452"/>
        <v>一般(Normal)</v>
      </c>
      <c r="AO1153" t="s">
        <v>65</v>
      </c>
      <c r="AS1153" t="str">
        <f>("2001.")</f>
        <v>2001.</v>
      </c>
      <c r="AT1153" t="str">
        <f t="shared" si="453"/>
        <v>catc</v>
      </c>
    </row>
    <row r="1154" spans="2:46" x14ac:dyDescent="0.25">
      <c r="B1154" t="str">
        <f>("287696")</f>
        <v>287696</v>
      </c>
      <c r="C1154" t="str">
        <f>("W00003224")</f>
        <v>W00003224</v>
      </c>
      <c r="D1154" t="str">
        <f>("The online learning handbookdeveloping and using web-based learning /")</f>
        <v>The online learning handbookdeveloping and using web-based learning /</v>
      </c>
      <c r="E1154" t="str">
        <f>("Jolliffe, Alan.")</f>
        <v>Jolliffe, Alan.</v>
      </c>
      <c r="F1154" t="str">
        <f>("Kogan Page,")</f>
        <v>Kogan Page,</v>
      </c>
      <c r="H1154" t="str">
        <f t="shared" si="470"/>
        <v>圖書 book</v>
      </c>
      <c r="I1154" t="str">
        <f>("LB1044.87 J75 2001")</f>
        <v>LB1044.87 J75 2001</v>
      </c>
      <c r="J1154" t="str">
        <f>("074943208X")</f>
        <v>074943208X</v>
      </c>
      <c r="K1154" t="str">
        <f t="shared" si="450"/>
        <v>0</v>
      </c>
      <c r="L1154" t="str">
        <f t="shared" si="475"/>
        <v>2001/10/10 00:00:00</v>
      </c>
      <c r="M1154" t="str">
        <f>("2018/08/11 13:31:44")</f>
        <v>2018/08/11 13:31:44</v>
      </c>
      <c r="N1154" t="str">
        <f>("2001")</f>
        <v>2001</v>
      </c>
      <c r="O1154" t="str">
        <f t="shared" si="471"/>
        <v>4F西文書庫 4F Western Language Books</v>
      </c>
      <c r="P1154" t="s">
        <v>64</v>
      </c>
      <c r="W1154" t="str">
        <f t="shared" si="474"/>
        <v>美國國會圖書分類法</v>
      </c>
      <c r="Y1154" t="str">
        <f>("LB1044.87")</f>
        <v>LB1044.87</v>
      </c>
      <c r="Z1154" t="str">
        <f t="shared" si="476"/>
        <v>2018/08/11 13:31:44</v>
      </c>
      <c r="AA1154" t="str">
        <f t="shared" si="451"/>
        <v>catc</v>
      </c>
      <c r="AC1154" t="str">
        <f>("J75")</f>
        <v>J75</v>
      </c>
      <c r="AE1154" t="str">
        <f t="shared" si="462"/>
        <v>c.1</v>
      </c>
      <c r="AF1154" t="str">
        <f t="shared" si="472"/>
        <v>1.可借圖書</v>
      </c>
      <c r="AG1154" t="str">
        <f t="shared" si="473"/>
        <v>在架</v>
      </c>
      <c r="AI1154" t="s">
        <v>65</v>
      </c>
      <c r="AK1154" t="str">
        <f t="shared" si="452"/>
        <v>一般(Normal)</v>
      </c>
      <c r="AO1154" t="s">
        <v>65</v>
      </c>
      <c r="AS1154" t="str">
        <f>("2001.")</f>
        <v>2001.</v>
      </c>
      <c r="AT1154" t="str">
        <f t="shared" si="453"/>
        <v>catc</v>
      </c>
    </row>
    <row r="1155" spans="2:46" x14ac:dyDescent="0.25">
      <c r="B1155" t="str">
        <f>("287698")</f>
        <v>287698</v>
      </c>
      <c r="C1155" t="str">
        <f>("W00003225")</f>
        <v>W00003225</v>
      </c>
      <c r="D1155" t="str">
        <f>("Performance management in the 21st century :solutions for business, education, and family /")</f>
        <v>Performance management in the 21st century :solutions for business, education, and family /</v>
      </c>
      <c r="E1155" t="str">
        <f>("Jones, Norman,1936-")</f>
        <v>Jones, Norman,1936-</v>
      </c>
      <c r="F1155" t="str">
        <f>("St. Lucie Press,")</f>
        <v>St. Lucie Press,</v>
      </c>
      <c r="H1155" t="str">
        <f t="shared" si="470"/>
        <v>圖書 book</v>
      </c>
      <c r="I1155" t="str">
        <f>("HD56 J78 1999")</f>
        <v>HD56 J78 1999</v>
      </c>
      <c r="J1155" t="str">
        <f>("1574442449")</f>
        <v>1574442449</v>
      </c>
      <c r="K1155" t="str">
        <f t="shared" si="450"/>
        <v>0</v>
      </c>
      <c r="L1155" t="str">
        <f t="shared" si="475"/>
        <v>2001/10/10 00:00:00</v>
      </c>
      <c r="M1155" t="str">
        <f>("2018/08/11 13:31:45")</f>
        <v>2018/08/11 13:31:45</v>
      </c>
      <c r="N1155" t="str">
        <f>("1999")</f>
        <v>1999</v>
      </c>
      <c r="O1155" t="str">
        <f t="shared" si="471"/>
        <v>4F西文書庫 4F Western Language Books</v>
      </c>
      <c r="P1155" t="s">
        <v>64</v>
      </c>
      <c r="W1155" t="str">
        <f t="shared" si="474"/>
        <v>美國國會圖書分類法</v>
      </c>
      <c r="Y1155" t="str">
        <f>("HD56")</f>
        <v>HD56</v>
      </c>
      <c r="Z1155" t="str">
        <f>("2018/08/11 13:31:45")</f>
        <v>2018/08/11 13:31:45</v>
      </c>
      <c r="AA1155" t="str">
        <f t="shared" si="451"/>
        <v>catc</v>
      </c>
      <c r="AC1155" t="str">
        <f>("J78")</f>
        <v>J78</v>
      </c>
      <c r="AE1155" t="str">
        <f t="shared" si="462"/>
        <v>c.1</v>
      </c>
      <c r="AF1155" t="str">
        <f t="shared" si="472"/>
        <v>1.可借圖書</v>
      </c>
      <c r="AG1155" t="str">
        <f t="shared" si="473"/>
        <v>在架</v>
      </c>
      <c r="AI1155" t="s">
        <v>65</v>
      </c>
      <c r="AK1155" t="str">
        <f t="shared" si="452"/>
        <v>一般(Normal)</v>
      </c>
      <c r="AO1155" t="s">
        <v>65</v>
      </c>
      <c r="AS1155" t="str">
        <f>("c1999.")</f>
        <v>c1999.</v>
      </c>
      <c r="AT1155" t="str">
        <f t="shared" si="453"/>
        <v>catc</v>
      </c>
    </row>
    <row r="1156" spans="2:46" x14ac:dyDescent="0.25">
      <c r="B1156" t="str">
        <f>("287699")</f>
        <v>287699</v>
      </c>
      <c r="C1156" t="str">
        <f>("W00003226")</f>
        <v>W00003226</v>
      </c>
      <c r="D1156" t="str">
        <f>("Principles of management for quality projects /")</f>
        <v>Principles of management for quality projects /</v>
      </c>
      <c r="E1156" t="str">
        <f>("Carruthers, Michael C.")</f>
        <v>Carruthers, Michael C.</v>
      </c>
      <c r="F1156" t="str">
        <f>("International Thomson Business,")</f>
        <v>International Thomson Business,</v>
      </c>
      <c r="H1156" t="str">
        <f t="shared" si="470"/>
        <v>圖書 book</v>
      </c>
      <c r="I1156" t="str">
        <f>("HD69.P75 C319 1999")</f>
        <v>HD69.P75 C319 1999</v>
      </c>
      <c r="J1156" t="str">
        <f>("1861525222")</f>
        <v>1861525222</v>
      </c>
      <c r="K1156" t="str">
        <f t="shared" si="450"/>
        <v>0</v>
      </c>
      <c r="L1156" t="str">
        <f t="shared" si="475"/>
        <v>2001/10/10 00:00:00</v>
      </c>
      <c r="M1156" t="str">
        <f>("2018/08/11 13:31:45")</f>
        <v>2018/08/11 13:31:45</v>
      </c>
      <c r="N1156" t="str">
        <f>("1999")</f>
        <v>1999</v>
      </c>
      <c r="O1156" t="str">
        <f t="shared" si="471"/>
        <v>4F西文書庫 4F Western Language Books</v>
      </c>
      <c r="P1156" t="s">
        <v>64</v>
      </c>
      <c r="W1156" t="str">
        <f t="shared" si="474"/>
        <v>美國國會圖書分類法</v>
      </c>
      <c r="Y1156" t="str">
        <f>("HD69.P75")</f>
        <v>HD69.P75</v>
      </c>
      <c r="Z1156" t="str">
        <f>("2018/08/11 13:31:45")</f>
        <v>2018/08/11 13:31:45</v>
      </c>
      <c r="AA1156" t="str">
        <f t="shared" si="451"/>
        <v>catc</v>
      </c>
      <c r="AC1156" t="str">
        <f>("C319")</f>
        <v>C319</v>
      </c>
      <c r="AE1156" t="str">
        <f t="shared" si="462"/>
        <v>c.1</v>
      </c>
      <c r="AF1156" t="str">
        <f t="shared" si="472"/>
        <v>1.可借圖書</v>
      </c>
      <c r="AG1156" t="str">
        <f t="shared" si="473"/>
        <v>在架</v>
      </c>
      <c r="AI1156" t="s">
        <v>65</v>
      </c>
      <c r="AK1156" t="str">
        <f t="shared" si="452"/>
        <v>一般(Normal)</v>
      </c>
      <c r="AO1156" t="s">
        <v>65</v>
      </c>
      <c r="AS1156" t="str">
        <f>("1999.")</f>
        <v>1999.</v>
      </c>
      <c r="AT1156" t="str">
        <f t="shared" si="453"/>
        <v>catc</v>
      </c>
    </row>
    <row r="1157" spans="2:46" x14ac:dyDescent="0.25">
      <c r="B1157" t="str">
        <f>("287739")</f>
        <v>287739</v>
      </c>
      <c r="C1157" t="str">
        <f>("W00003227")</f>
        <v>W00003227</v>
      </c>
      <c r="D1157" t="str">
        <f>("Power through people and principles not puppets and prejudices /")</f>
        <v>Power through people and principles not puppets and prejudices /</v>
      </c>
      <c r="E1157" t="str">
        <f>("Kapur, Vipen.")</f>
        <v>Kapur, Vipen.</v>
      </c>
      <c r="F1157" t="str">
        <f>("McGraw-Hill Book Co.,")</f>
        <v>McGraw-Hill Book Co.,</v>
      </c>
      <c r="H1157" t="str">
        <f t="shared" si="470"/>
        <v>圖書 book</v>
      </c>
      <c r="I1157" t="str">
        <f>("BD438 K17 2000")</f>
        <v>BD438 K17 2000</v>
      </c>
      <c r="J1157" t="str">
        <f>("007116443X")</f>
        <v>007116443X</v>
      </c>
      <c r="K1157" t="str">
        <f t="shared" si="450"/>
        <v>0</v>
      </c>
      <c r="L1157" t="str">
        <f t="shared" si="475"/>
        <v>2001/10/10 00:00:00</v>
      </c>
      <c r="M1157" t="str">
        <f>("2018/08/11 13:31:49")</f>
        <v>2018/08/11 13:31:49</v>
      </c>
      <c r="N1157" t="str">
        <f>("2000")</f>
        <v>2000</v>
      </c>
      <c r="O1157" t="str">
        <f t="shared" si="471"/>
        <v>4F西文書庫 4F Western Language Books</v>
      </c>
      <c r="P1157" t="s">
        <v>64</v>
      </c>
      <c r="W1157" t="str">
        <f t="shared" si="474"/>
        <v>美國國會圖書分類法</v>
      </c>
      <c r="Y1157" t="str">
        <f>("BD438")</f>
        <v>BD438</v>
      </c>
      <c r="Z1157" t="str">
        <f>("2018/08/11 13:31:49")</f>
        <v>2018/08/11 13:31:49</v>
      </c>
      <c r="AA1157" t="str">
        <f t="shared" si="451"/>
        <v>catc</v>
      </c>
      <c r="AC1157" t="str">
        <f>("K17")</f>
        <v>K17</v>
      </c>
      <c r="AE1157" t="str">
        <f t="shared" si="462"/>
        <v>c.1</v>
      </c>
      <c r="AF1157" t="str">
        <f t="shared" si="472"/>
        <v>1.可借圖書</v>
      </c>
      <c r="AG1157" t="str">
        <f t="shared" si="473"/>
        <v>在架</v>
      </c>
      <c r="AI1157" t="s">
        <v>65</v>
      </c>
      <c r="AK1157" t="str">
        <f t="shared" si="452"/>
        <v>一般(Normal)</v>
      </c>
      <c r="AO1157" t="s">
        <v>65</v>
      </c>
      <c r="AS1157" t="str">
        <f>("2000.")</f>
        <v>2000.</v>
      </c>
      <c r="AT1157" t="str">
        <f t="shared" si="453"/>
        <v>catc</v>
      </c>
    </row>
    <row r="1158" spans="2:46" x14ac:dyDescent="0.25">
      <c r="B1158" t="str">
        <f>("287700")</f>
        <v>287700</v>
      </c>
      <c r="C1158" t="str">
        <f>("W00003228")</f>
        <v>W00003228</v>
      </c>
      <c r="D1158" t="str">
        <f>("The last mile :broadband and the next Internet revolution /")</f>
        <v>The last mile :broadband and the next Internet revolution /</v>
      </c>
      <c r="E1158" t="str">
        <f>("Wolf, Jason,1970-")</f>
        <v>Wolf, Jason,1970-</v>
      </c>
      <c r="F1158" t="str">
        <f>("McGraw Hill,")</f>
        <v>McGraw Hill,</v>
      </c>
      <c r="H1158" t="str">
        <f t="shared" si="470"/>
        <v>圖書 book</v>
      </c>
      <c r="I1158" t="str">
        <f>("TK5103.4 W854 2001")</f>
        <v>TK5103.4 W854 2001</v>
      </c>
      <c r="J1158" t="str">
        <f>("0071363491")</f>
        <v>0071363491</v>
      </c>
      <c r="K1158" t="str">
        <f t="shared" si="450"/>
        <v>0</v>
      </c>
      <c r="L1158" t="str">
        <f t="shared" si="475"/>
        <v>2001/10/10 00:00:00</v>
      </c>
      <c r="M1158" t="str">
        <f>("2018/08/11 13:31:45")</f>
        <v>2018/08/11 13:31:45</v>
      </c>
      <c r="N1158" t="str">
        <f>("2001")</f>
        <v>2001</v>
      </c>
      <c r="O1158" t="str">
        <f t="shared" si="471"/>
        <v>4F西文書庫 4F Western Language Books</v>
      </c>
      <c r="P1158" t="s">
        <v>64</v>
      </c>
      <c r="W1158" t="str">
        <f t="shared" si="474"/>
        <v>美國國會圖書分類法</v>
      </c>
      <c r="Y1158" t="str">
        <f>("TK5103.4")</f>
        <v>TK5103.4</v>
      </c>
      <c r="Z1158" t="str">
        <f>("2018/08/11 13:31:45")</f>
        <v>2018/08/11 13:31:45</v>
      </c>
      <c r="AA1158" t="str">
        <f t="shared" si="451"/>
        <v>catc</v>
      </c>
      <c r="AC1158" t="str">
        <f>("W854")</f>
        <v>W854</v>
      </c>
      <c r="AE1158" t="str">
        <f t="shared" si="462"/>
        <v>c.1</v>
      </c>
      <c r="AF1158" t="str">
        <f t="shared" si="472"/>
        <v>1.可借圖書</v>
      </c>
      <c r="AG1158" t="str">
        <f t="shared" si="473"/>
        <v>在架</v>
      </c>
      <c r="AI1158" t="s">
        <v>65</v>
      </c>
      <c r="AK1158" t="str">
        <f t="shared" si="452"/>
        <v>一般(Normal)</v>
      </c>
      <c r="AO1158" t="s">
        <v>65</v>
      </c>
      <c r="AS1158" t="str">
        <f>("c2001.")</f>
        <v>c2001.</v>
      </c>
      <c r="AT1158" t="str">
        <f t="shared" si="453"/>
        <v>catc</v>
      </c>
    </row>
    <row r="1159" spans="2:46" x14ac:dyDescent="0.25">
      <c r="B1159" t="str">
        <f>("287701")</f>
        <v>287701</v>
      </c>
      <c r="C1159" t="str">
        <f>("W00003229")</f>
        <v>W00003229</v>
      </c>
      <c r="D1159" t="str">
        <f>("The learning company :a strategy for sustainable development /")</f>
        <v>The learning company :a strategy for sustainable development /</v>
      </c>
      <c r="E1159" t="str">
        <f>("Pedler, Mike.")</f>
        <v>Pedler, Mike.</v>
      </c>
      <c r="F1159" t="str">
        <f>("McGraw-Hill,")</f>
        <v>McGraw-Hill,</v>
      </c>
      <c r="G1159" t="str">
        <f>("2nd ed.")</f>
        <v>2nd ed.</v>
      </c>
      <c r="H1159" t="str">
        <f t="shared" si="470"/>
        <v>圖書 book</v>
      </c>
      <c r="I1159" t="str">
        <f>("HD58.8 P371 1997")</f>
        <v>HD58.8 P371 1997</v>
      </c>
      <c r="J1159" t="str">
        <f>("0077093003")</f>
        <v>0077093003</v>
      </c>
      <c r="K1159" t="str">
        <f t="shared" si="450"/>
        <v>0</v>
      </c>
      <c r="L1159" t="str">
        <f t="shared" si="475"/>
        <v>2001/10/10 00:00:00</v>
      </c>
      <c r="M1159" t="str">
        <f>("2018/08/11 13:31:45")</f>
        <v>2018/08/11 13:31:45</v>
      </c>
      <c r="N1159" t="str">
        <f>("1997")</f>
        <v>1997</v>
      </c>
      <c r="O1159" t="str">
        <f t="shared" si="471"/>
        <v>4F西文書庫 4F Western Language Books</v>
      </c>
      <c r="P1159" t="s">
        <v>64</v>
      </c>
      <c r="W1159" t="str">
        <f t="shared" si="474"/>
        <v>美國國會圖書分類法</v>
      </c>
      <c r="Y1159" t="str">
        <f>("HD58.8")</f>
        <v>HD58.8</v>
      </c>
      <c r="Z1159" t="str">
        <f>("2018/08/11 13:31:45")</f>
        <v>2018/08/11 13:31:45</v>
      </c>
      <c r="AA1159" t="str">
        <f t="shared" si="451"/>
        <v>catc</v>
      </c>
      <c r="AC1159" t="str">
        <f>("P371")</f>
        <v>P371</v>
      </c>
      <c r="AE1159" t="str">
        <f t="shared" si="462"/>
        <v>c.1</v>
      </c>
      <c r="AF1159" t="str">
        <f t="shared" si="472"/>
        <v>1.可借圖書</v>
      </c>
      <c r="AG1159" t="str">
        <f t="shared" si="473"/>
        <v>在架</v>
      </c>
      <c r="AI1159" t="s">
        <v>65</v>
      </c>
      <c r="AK1159" t="str">
        <f t="shared" si="452"/>
        <v>一般(Normal)</v>
      </c>
      <c r="AO1159" t="s">
        <v>65</v>
      </c>
      <c r="AS1159" t="str">
        <f>("c1997.")</f>
        <v>c1997.</v>
      </c>
      <c r="AT1159" t="str">
        <f t="shared" si="453"/>
        <v>catc</v>
      </c>
    </row>
    <row r="1160" spans="2:46" x14ac:dyDescent="0.25">
      <c r="B1160" t="str">
        <f>("287702")</f>
        <v>287702</v>
      </c>
      <c r="C1160" t="str">
        <f>("W00003230")</f>
        <v>W00003230</v>
      </c>
      <c r="D1160" t="str">
        <f>("The real life investing guide /")</f>
        <v>The real life investing guide /</v>
      </c>
      <c r="E1160" t="str">
        <f>("Pollack, Kenan.")</f>
        <v>Pollack, Kenan.</v>
      </c>
      <c r="F1160" t="str">
        <f>("McGraw-Hill,")</f>
        <v>McGraw-Hill,</v>
      </c>
      <c r="H1160" t="str">
        <f t="shared" si="470"/>
        <v>圖書 book</v>
      </c>
      <c r="I1160" t="str">
        <f>("HG4527 P771 1998")</f>
        <v>HG4527 P771 1998</v>
      </c>
      <c r="J1160" t="str">
        <f>("0070503192")</f>
        <v>0070503192</v>
      </c>
      <c r="K1160" t="str">
        <f t="shared" si="450"/>
        <v>0</v>
      </c>
      <c r="L1160" t="str">
        <f t="shared" si="475"/>
        <v>2001/10/10 00:00:00</v>
      </c>
      <c r="M1160" t="str">
        <f>("2018/08/11 13:31:45")</f>
        <v>2018/08/11 13:31:45</v>
      </c>
      <c r="N1160" t="str">
        <f>("1998")</f>
        <v>1998</v>
      </c>
      <c r="O1160" t="str">
        <f t="shared" si="471"/>
        <v>4F西文書庫 4F Western Language Books</v>
      </c>
      <c r="P1160" t="s">
        <v>64</v>
      </c>
      <c r="W1160" t="str">
        <f t="shared" si="474"/>
        <v>美國國會圖書分類法</v>
      </c>
      <c r="Y1160" t="str">
        <f>("HG4527")</f>
        <v>HG4527</v>
      </c>
      <c r="Z1160" t="str">
        <f>("2018/08/11 13:31:45")</f>
        <v>2018/08/11 13:31:45</v>
      </c>
      <c r="AA1160" t="str">
        <f t="shared" si="451"/>
        <v>catc</v>
      </c>
      <c r="AC1160" t="str">
        <f>("P771")</f>
        <v>P771</v>
      </c>
      <c r="AE1160" t="str">
        <f t="shared" si="462"/>
        <v>c.1</v>
      </c>
      <c r="AF1160" t="str">
        <f t="shared" si="472"/>
        <v>1.可借圖書</v>
      </c>
      <c r="AG1160" t="str">
        <f t="shared" si="473"/>
        <v>在架</v>
      </c>
      <c r="AI1160" t="s">
        <v>65</v>
      </c>
      <c r="AK1160" t="str">
        <f t="shared" si="452"/>
        <v>一般(Normal)</v>
      </c>
      <c r="AO1160" t="s">
        <v>65</v>
      </c>
      <c r="AS1160" t="str">
        <f>("c1998.")</f>
        <v>c1998.</v>
      </c>
      <c r="AT1160" t="str">
        <f t="shared" si="453"/>
        <v>catc</v>
      </c>
    </row>
    <row r="1161" spans="2:46" x14ac:dyDescent="0.25">
      <c r="B1161" t="str">
        <f>("287738")</f>
        <v>287738</v>
      </c>
      <c r="C1161" t="str">
        <f>("W00003231")</f>
        <v>W00003231</v>
      </c>
      <c r="D1161" t="str">
        <f>("Advanced C primer ++ /")</f>
        <v>Advanced C primer ++ /</v>
      </c>
      <c r="E1161" t="str">
        <f>("Prata, Stephen.")</f>
        <v>Prata, Stephen.</v>
      </c>
      <c r="F1161" t="str">
        <f>("Howard W. Sams,")</f>
        <v>Howard W. Sams,</v>
      </c>
      <c r="G1161" t="str">
        <f>("1st ed.")</f>
        <v>1st ed.</v>
      </c>
      <c r="H1161" t="str">
        <f t="shared" si="470"/>
        <v>圖書 book</v>
      </c>
      <c r="I1161" t="str">
        <f>("QA76.73.C15 P912 1986")</f>
        <v>QA76.73.C15 P912 1986</v>
      </c>
      <c r="J1161" t="str">
        <f>("0672224860")</f>
        <v>0672224860</v>
      </c>
      <c r="K1161" t="str">
        <f t="shared" si="450"/>
        <v>0</v>
      </c>
      <c r="L1161" t="str">
        <f t="shared" si="475"/>
        <v>2001/10/10 00:00:00</v>
      </c>
      <c r="M1161" t="str">
        <f>("2018/08/11 13:31:49")</f>
        <v>2018/08/11 13:31:49</v>
      </c>
      <c r="N1161" t="str">
        <f>("1986")</f>
        <v>1986</v>
      </c>
      <c r="O1161" t="str">
        <f t="shared" si="471"/>
        <v>4F西文書庫 4F Western Language Books</v>
      </c>
      <c r="P1161" t="s">
        <v>64</v>
      </c>
      <c r="W1161" t="str">
        <f t="shared" si="474"/>
        <v>美國國會圖書分類法</v>
      </c>
      <c r="Y1161" t="str">
        <f>("QA76.73.C15")</f>
        <v>QA76.73.C15</v>
      </c>
      <c r="Z1161" t="str">
        <f>("2018/08/11 13:31:49")</f>
        <v>2018/08/11 13:31:49</v>
      </c>
      <c r="AA1161" t="str">
        <f t="shared" si="451"/>
        <v>catc</v>
      </c>
      <c r="AC1161" t="str">
        <f>("P912")</f>
        <v>P912</v>
      </c>
      <c r="AE1161" t="str">
        <f t="shared" si="462"/>
        <v>c.1</v>
      </c>
      <c r="AF1161" t="str">
        <f t="shared" si="472"/>
        <v>1.可借圖書</v>
      </c>
      <c r="AG1161" t="str">
        <f t="shared" si="473"/>
        <v>在架</v>
      </c>
      <c r="AI1161" t="s">
        <v>65</v>
      </c>
      <c r="AK1161" t="str">
        <f t="shared" si="452"/>
        <v>一般(Normal)</v>
      </c>
      <c r="AO1161" t="s">
        <v>65</v>
      </c>
      <c r="AS1161" t="str">
        <f>("c1986.")</f>
        <v>c1986.</v>
      </c>
      <c r="AT1161" t="str">
        <f t="shared" si="453"/>
        <v>catc</v>
      </c>
    </row>
    <row r="1162" spans="2:46" x14ac:dyDescent="0.25">
      <c r="B1162" t="str">
        <f>("287703")</f>
        <v>287703</v>
      </c>
      <c r="C1162" t="str">
        <f>("W00003232")</f>
        <v>W00003232</v>
      </c>
      <c r="D1162" t="str">
        <f>("The AutoCAD 3D companion :the illustrated guide to AutoCAD's third dimension for release 13 for Windows /")</f>
        <v>The AutoCAD 3D companion :the illustrated guide to AutoCAD's third dimension for release 13 for Windows /</v>
      </c>
      <c r="E1162" t="str">
        <f>("Head, George O. ")</f>
        <v xml:space="preserve">Head, George O. </v>
      </c>
      <c r="F1162" t="str">
        <f>("Ventana Press,")</f>
        <v>Ventana Press,</v>
      </c>
      <c r="G1162" t="str">
        <f>("2nd ed.")</f>
        <v>2nd ed.</v>
      </c>
      <c r="H1162" t="str">
        <f t="shared" si="470"/>
        <v>圖書 book</v>
      </c>
      <c r="I1162" t="str">
        <f>("T385 H432 1995")</f>
        <v>T385 H432 1995</v>
      </c>
      <c r="J1162" t="str">
        <f>("1566041422")</f>
        <v>1566041422</v>
      </c>
      <c r="K1162" t="str">
        <f t="shared" si="450"/>
        <v>0</v>
      </c>
      <c r="L1162" t="str">
        <f t="shared" si="475"/>
        <v>2001/10/10 00:00:00</v>
      </c>
      <c r="M1162" t="str">
        <f>("2018/08/11 13:31:45")</f>
        <v>2018/08/11 13:31:45</v>
      </c>
      <c r="N1162" t="str">
        <f>("1995")</f>
        <v>1995</v>
      </c>
      <c r="O1162" t="str">
        <f t="shared" si="471"/>
        <v>4F西文書庫 4F Western Language Books</v>
      </c>
      <c r="P1162" t="s">
        <v>64</v>
      </c>
      <c r="S1162" t="str">
        <f>("xxii, 622 p. :")</f>
        <v>xxii, 622 p. :</v>
      </c>
      <c r="T1162" t="str">
        <f>("ill. :")</f>
        <v>ill. :</v>
      </c>
      <c r="U1162" t="str">
        <f>("24 cm. +")</f>
        <v>24 cm. +</v>
      </c>
      <c r="V1162" t="str">
        <f>("1 computer disk (3 1/2 in.)")</f>
        <v>1 computer disk (3 1/2 in.)</v>
      </c>
      <c r="W1162" t="str">
        <f t="shared" si="474"/>
        <v>美國國會圖書分類法</v>
      </c>
      <c r="Y1162" t="str">
        <f>("T385")</f>
        <v>T385</v>
      </c>
      <c r="Z1162" t="str">
        <f>("2018/08/11 13:31:45")</f>
        <v>2018/08/11 13:31:45</v>
      </c>
      <c r="AA1162" t="str">
        <f t="shared" si="451"/>
        <v>catc</v>
      </c>
      <c r="AC1162" t="str">
        <f>("H432")</f>
        <v>H432</v>
      </c>
      <c r="AE1162" t="str">
        <f t="shared" si="462"/>
        <v>c.1</v>
      </c>
      <c r="AF1162" t="str">
        <f t="shared" si="472"/>
        <v>1.可借圖書</v>
      </c>
      <c r="AG1162" t="str">
        <f t="shared" si="473"/>
        <v>在架</v>
      </c>
      <c r="AI1162" t="s">
        <v>65</v>
      </c>
      <c r="AK1162" t="str">
        <f t="shared" si="452"/>
        <v>一般(Normal)</v>
      </c>
      <c r="AO1162" t="s">
        <v>65</v>
      </c>
      <c r="AS1162" t="str">
        <f>("c1995.")</f>
        <v>c1995.</v>
      </c>
      <c r="AT1162" t="str">
        <f t="shared" si="453"/>
        <v>catc</v>
      </c>
    </row>
    <row r="1163" spans="2:46" x14ac:dyDescent="0.25">
      <c r="B1163" t="str">
        <f>("287704")</f>
        <v>287704</v>
      </c>
      <c r="C1163" t="str">
        <f>("W00003233")</f>
        <v>W00003233</v>
      </c>
      <c r="D1163" t="str">
        <f>("Database processing :fundamentals, design, and implementation /")</f>
        <v>Database processing :fundamentals, design, and implementation /</v>
      </c>
      <c r="E1163" t="str">
        <f>("Kroenke, David M.")</f>
        <v>Kroenke, David M.</v>
      </c>
      <c r="F1163" t="str">
        <f>("Prentice Hall,")</f>
        <v>Prentice Hall,</v>
      </c>
      <c r="G1163" t="str">
        <f>("6th ed.")</f>
        <v>6th ed.</v>
      </c>
      <c r="H1163" t="str">
        <f t="shared" si="470"/>
        <v>圖書 book</v>
      </c>
      <c r="I1163" t="str">
        <f>("QA76.9.D3 K93 1998")</f>
        <v>QA76.9.D3 K93 1998</v>
      </c>
      <c r="J1163" t="str">
        <f>("0137378424;0136494501")</f>
        <v>0137378424;0136494501</v>
      </c>
      <c r="K1163" t="str">
        <f t="shared" si="450"/>
        <v>0</v>
      </c>
      <c r="L1163" t="str">
        <f t="shared" si="475"/>
        <v>2001/10/10 00:00:00</v>
      </c>
      <c r="M1163" t="str">
        <f>("2018/08/11 13:31:45")</f>
        <v>2018/08/11 13:31:45</v>
      </c>
      <c r="N1163" t="str">
        <f>("1998")</f>
        <v>1998</v>
      </c>
      <c r="O1163" t="str">
        <f t="shared" si="471"/>
        <v>4F西文書庫 4F Western Language Books</v>
      </c>
      <c r="P1163" t="s">
        <v>64</v>
      </c>
      <c r="W1163" t="str">
        <f t="shared" si="474"/>
        <v>美國國會圖書分類法</v>
      </c>
      <c r="Y1163" t="str">
        <f>("QA76.9.D3")</f>
        <v>QA76.9.D3</v>
      </c>
      <c r="Z1163" t="str">
        <f>("2018/08/11 13:31:45")</f>
        <v>2018/08/11 13:31:45</v>
      </c>
      <c r="AA1163" t="str">
        <f t="shared" si="451"/>
        <v>catc</v>
      </c>
      <c r="AC1163" t="str">
        <f>("K93")</f>
        <v>K93</v>
      </c>
      <c r="AE1163" t="str">
        <f t="shared" si="462"/>
        <v>c.1</v>
      </c>
      <c r="AF1163" t="str">
        <f t="shared" si="472"/>
        <v>1.可借圖書</v>
      </c>
      <c r="AG1163" t="str">
        <f t="shared" si="473"/>
        <v>在架</v>
      </c>
      <c r="AI1163" t="s">
        <v>65</v>
      </c>
      <c r="AK1163" t="str">
        <f t="shared" si="452"/>
        <v>一般(Normal)</v>
      </c>
      <c r="AO1163" t="s">
        <v>65</v>
      </c>
      <c r="AS1163" t="str">
        <f>("1998.")</f>
        <v>1998.</v>
      </c>
      <c r="AT1163" t="str">
        <f t="shared" si="453"/>
        <v>catc</v>
      </c>
    </row>
    <row r="1164" spans="2:46" x14ac:dyDescent="0.25">
      <c r="B1164" t="str">
        <f>("287705")</f>
        <v>287705</v>
      </c>
      <c r="C1164" t="str">
        <f>("W00003234")</f>
        <v>W00003234</v>
      </c>
      <c r="D1164" t="str">
        <f>("Fundamentals of data structures in C++ /")</f>
        <v>Fundamentals of data structures in C++ /</v>
      </c>
      <c r="E1164" t="str">
        <f>("Horowitz, Ellis.")</f>
        <v>Horowitz, Ellis.</v>
      </c>
      <c r="F1164" t="str">
        <f>("Computer Science Press,")</f>
        <v>Computer Science Press,</v>
      </c>
      <c r="H1164" t="str">
        <f t="shared" si="470"/>
        <v>圖書 book</v>
      </c>
      <c r="I1164" t="str">
        <f>("QA76.73.C153 H816 1995")</f>
        <v>QA76.73.C153 H816 1995</v>
      </c>
      <c r="J1164" t="str">
        <f>("0716782928")</f>
        <v>0716782928</v>
      </c>
      <c r="K1164" t="str">
        <f t="shared" si="450"/>
        <v>0</v>
      </c>
      <c r="L1164" t="str">
        <f t="shared" si="475"/>
        <v>2001/10/10 00:00:00</v>
      </c>
      <c r="M1164" t="str">
        <f>("2018/08/11 13:31:45")</f>
        <v>2018/08/11 13:31:45</v>
      </c>
      <c r="N1164" t="str">
        <f>("1995")</f>
        <v>1995</v>
      </c>
      <c r="O1164" t="str">
        <f t="shared" si="471"/>
        <v>4F西文書庫 4F Western Language Books</v>
      </c>
      <c r="P1164" t="s">
        <v>64</v>
      </c>
      <c r="W1164" t="str">
        <f t="shared" si="474"/>
        <v>美國國會圖書分類法</v>
      </c>
      <c r="Y1164" t="str">
        <f>("QA76.73.C153")</f>
        <v>QA76.73.C153</v>
      </c>
      <c r="Z1164" t="str">
        <f>("2018/08/11 13:31:45")</f>
        <v>2018/08/11 13:31:45</v>
      </c>
      <c r="AA1164" t="str">
        <f t="shared" si="451"/>
        <v>catc</v>
      </c>
      <c r="AC1164" t="str">
        <f>("H816")</f>
        <v>H816</v>
      </c>
      <c r="AE1164" t="str">
        <f t="shared" si="462"/>
        <v>c.1</v>
      </c>
      <c r="AF1164" t="str">
        <f t="shared" si="472"/>
        <v>1.可借圖書</v>
      </c>
      <c r="AG1164" t="str">
        <f t="shared" si="473"/>
        <v>在架</v>
      </c>
      <c r="AI1164" t="s">
        <v>65</v>
      </c>
      <c r="AK1164" t="str">
        <f t="shared" si="452"/>
        <v>一般(Normal)</v>
      </c>
      <c r="AO1164" t="s">
        <v>65</v>
      </c>
      <c r="AS1164" t="str">
        <f>("c1995.")</f>
        <v>c1995.</v>
      </c>
      <c r="AT1164" t="str">
        <f t="shared" si="453"/>
        <v>catc</v>
      </c>
    </row>
    <row r="1165" spans="2:46" x14ac:dyDescent="0.25">
      <c r="B1165" t="str">
        <f>("287707")</f>
        <v>287707</v>
      </c>
      <c r="C1165" t="str">
        <f>("W00003235")</f>
        <v>W00003235</v>
      </c>
      <c r="D1165" t="str">
        <f>("Fuzzy sets, fuzzy logic, fuzzy methods with applications /")</f>
        <v>Fuzzy sets, fuzzy logic, fuzzy methods with applications /</v>
      </c>
      <c r="E1165" t="str">
        <f>("Bandemer, Hans.")</f>
        <v>Bandemer, Hans.</v>
      </c>
      <c r="F1165" t="str">
        <f>("John Wiley &amp; Sons,")</f>
        <v>John Wiley &amp; Sons,</v>
      </c>
      <c r="H1165" t="str">
        <f t="shared" si="470"/>
        <v>圖書 book</v>
      </c>
      <c r="I1165" t="str">
        <f>("QA248.5 B214 1995")</f>
        <v>QA248.5 B214 1995</v>
      </c>
      <c r="J1165" t="str">
        <f>("0471956368")</f>
        <v>0471956368</v>
      </c>
      <c r="K1165" t="str">
        <f t="shared" si="450"/>
        <v>0</v>
      </c>
      <c r="L1165" t="str">
        <f t="shared" si="475"/>
        <v>2001/10/10 00:00:00</v>
      </c>
      <c r="M1165" t="str">
        <f>("2018/08/11 13:31:46")</f>
        <v>2018/08/11 13:31:46</v>
      </c>
      <c r="N1165" t="str">
        <f>("1995")</f>
        <v>1995</v>
      </c>
      <c r="O1165" t="str">
        <f t="shared" si="471"/>
        <v>4F西文書庫 4F Western Language Books</v>
      </c>
      <c r="P1165" t="s">
        <v>64</v>
      </c>
      <c r="W1165" t="str">
        <f t="shared" si="474"/>
        <v>美國國會圖書分類法</v>
      </c>
      <c r="Y1165" t="str">
        <f>("QA248.5")</f>
        <v>QA248.5</v>
      </c>
      <c r="Z1165" t="str">
        <f>("2018/08/11 13:31:46")</f>
        <v>2018/08/11 13:31:46</v>
      </c>
      <c r="AA1165" t="str">
        <f t="shared" si="451"/>
        <v>catc</v>
      </c>
      <c r="AC1165" t="str">
        <f>("B214")</f>
        <v>B214</v>
      </c>
      <c r="AE1165" t="str">
        <f t="shared" si="462"/>
        <v>c.1</v>
      </c>
      <c r="AF1165" t="str">
        <f t="shared" si="472"/>
        <v>1.可借圖書</v>
      </c>
      <c r="AG1165" t="str">
        <f t="shared" si="473"/>
        <v>在架</v>
      </c>
      <c r="AI1165" t="s">
        <v>65</v>
      </c>
      <c r="AK1165" t="str">
        <f t="shared" si="452"/>
        <v>一般(Normal)</v>
      </c>
      <c r="AO1165" t="s">
        <v>65</v>
      </c>
      <c r="AS1165" t="str">
        <f>("c1995.")</f>
        <v>c1995.</v>
      </c>
      <c r="AT1165" t="str">
        <f t="shared" si="453"/>
        <v>catc</v>
      </c>
    </row>
    <row r="1166" spans="2:46" x14ac:dyDescent="0.25">
      <c r="B1166" t="str">
        <f>("292919")</f>
        <v>292919</v>
      </c>
      <c r="C1166" t="str">
        <f>("W00003236")</f>
        <v>W00003236</v>
      </c>
      <c r="D1166" t="str">
        <f>("Introduction to computing and algorithms /")</f>
        <v>Introduction to computing and algorithms /</v>
      </c>
      <c r="E1166" t="str">
        <f>("Shackelford, Russell L.")</f>
        <v>Shackelford, Russell L.</v>
      </c>
      <c r="F1166" t="str">
        <f>("Addison-Wesley,")</f>
        <v>Addison-Wesley,</v>
      </c>
      <c r="H1166" t="str">
        <f t="shared" si="470"/>
        <v>圖書 book</v>
      </c>
      <c r="I1166" t="str">
        <f>("QA76 S524 1998")</f>
        <v>QA76 S524 1998</v>
      </c>
      <c r="J1166" t="str">
        <f>("0201314517")</f>
        <v>0201314517</v>
      </c>
      <c r="K1166" t="str">
        <f t="shared" si="450"/>
        <v>0</v>
      </c>
      <c r="L1166" t="str">
        <f t="shared" si="475"/>
        <v>2001/10/10 00:00:00</v>
      </c>
      <c r="M1166" t="str">
        <f>("2018/08/11 13:41:13")</f>
        <v>2018/08/11 13:41:13</v>
      </c>
      <c r="N1166" t="str">
        <f>("1998")</f>
        <v>1998</v>
      </c>
      <c r="O1166" t="str">
        <f t="shared" si="471"/>
        <v>4F西文書庫 4F Western Language Books</v>
      </c>
      <c r="P1166" t="s">
        <v>64</v>
      </c>
      <c r="S1166" t="str">
        <f>("xxiii, 412 p. :")</f>
        <v>xxiii, 412 p. :</v>
      </c>
      <c r="T1166" t="str">
        <f>("ill. ;")</f>
        <v>ill. ;</v>
      </c>
      <c r="U1166" t="str">
        <f>("24 cm.")</f>
        <v>24 cm.</v>
      </c>
      <c r="W1166" t="str">
        <f t="shared" si="474"/>
        <v>美國國會圖書分類法</v>
      </c>
      <c r="Y1166" t="str">
        <f>("QA76")</f>
        <v>QA76</v>
      </c>
      <c r="Z1166" t="str">
        <f>("2018/08/11 13:41:13")</f>
        <v>2018/08/11 13:41:13</v>
      </c>
      <c r="AA1166" t="str">
        <f t="shared" si="451"/>
        <v>catc</v>
      </c>
      <c r="AC1166" t="str">
        <f>("S524")</f>
        <v>S524</v>
      </c>
      <c r="AE1166" t="str">
        <f t="shared" si="462"/>
        <v>c.1</v>
      </c>
      <c r="AF1166" t="str">
        <f t="shared" si="472"/>
        <v>1.可借圖書</v>
      </c>
      <c r="AG1166" t="str">
        <f t="shared" si="473"/>
        <v>在架</v>
      </c>
      <c r="AI1166" t="s">
        <v>65</v>
      </c>
      <c r="AK1166" t="str">
        <f t="shared" si="452"/>
        <v>一般(Normal)</v>
      </c>
      <c r="AO1166" t="s">
        <v>65</v>
      </c>
      <c r="AS1166" t="str">
        <f>("c1998.")</f>
        <v>c1998.</v>
      </c>
      <c r="AT1166" t="str">
        <f t="shared" si="453"/>
        <v>catc</v>
      </c>
    </row>
    <row r="1167" spans="2:46" x14ac:dyDescent="0.25">
      <c r="B1167" t="str">
        <f>("287706")</f>
        <v>287706</v>
      </c>
      <c r="C1167" t="str">
        <f>("W00003237")</f>
        <v>W00003237</v>
      </c>
      <c r="D1167" t="str">
        <f>("Networking with Microsoft TCP/IP /")</f>
        <v>Networking with Microsoft TCP/IP /</v>
      </c>
      <c r="E1167" t="str">
        <f>("Heywood, Drew.")</f>
        <v>Heywood, Drew.</v>
      </c>
      <c r="F1167" t="str">
        <f>("New Riders Pub.,")</f>
        <v>New Riders Pub.,</v>
      </c>
      <c r="G1167" t="str">
        <f>("2nd ed.")</f>
        <v>2nd ed.</v>
      </c>
      <c r="H1167" t="str">
        <f t="shared" si="470"/>
        <v>圖書 book</v>
      </c>
      <c r="I1167" t="str">
        <f>("TK5105.585 H622 1997")</f>
        <v>TK5105.585 H622 1997</v>
      </c>
      <c r="J1167" t="str">
        <f>("1562057138")</f>
        <v>1562057138</v>
      </c>
      <c r="K1167" t="str">
        <f t="shared" si="450"/>
        <v>0</v>
      </c>
      <c r="L1167" t="str">
        <f t="shared" si="475"/>
        <v>2001/10/10 00:00:00</v>
      </c>
      <c r="M1167" t="str">
        <f>("2018/08/11 13:31:46")</f>
        <v>2018/08/11 13:31:46</v>
      </c>
      <c r="N1167" t="str">
        <f>("1997")</f>
        <v>1997</v>
      </c>
      <c r="O1167" t="str">
        <f t="shared" si="471"/>
        <v>4F西文書庫 4F Western Language Books</v>
      </c>
      <c r="P1167" t="s">
        <v>64</v>
      </c>
      <c r="W1167" t="str">
        <f t="shared" si="474"/>
        <v>美國國會圖書分類法</v>
      </c>
      <c r="Y1167" t="str">
        <f>("TK5105.585")</f>
        <v>TK5105.585</v>
      </c>
      <c r="Z1167" t="str">
        <f>("2018/08/11 13:31:45")</f>
        <v>2018/08/11 13:31:45</v>
      </c>
      <c r="AA1167" t="str">
        <f t="shared" si="451"/>
        <v>catc</v>
      </c>
      <c r="AC1167" t="str">
        <f>("H622")</f>
        <v>H622</v>
      </c>
      <c r="AE1167" t="str">
        <f t="shared" si="462"/>
        <v>c.1</v>
      </c>
      <c r="AF1167" t="str">
        <f t="shared" si="472"/>
        <v>1.可借圖書</v>
      </c>
      <c r="AG1167" t="str">
        <f t="shared" si="473"/>
        <v>在架</v>
      </c>
      <c r="AI1167" t="s">
        <v>65</v>
      </c>
      <c r="AK1167" t="str">
        <f t="shared" si="452"/>
        <v>一般(Normal)</v>
      </c>
      <c r="AO1167" t="s">
        <v>65</v>
      </c>
      <c r="AS1167" t="str">
        <f>("c1997.")</f>
        <v>c1997.</v>
      </c>
      <c r="AT1167" t="str">
        <f t="shared" si="453"/>
        <v>catc</v>
      </c>
    </row>
    <row r="1168" spans="2:46" x14ac:dyDescent="0.25">
      <c r="B1168" t="str">
        <f>("287708")</f>
        <v>287708</v>
      </c>
      <c r="C1168" t="str">
        <f>("W00003238")</f>
        <v>W00003238</v>
      </c>
      <c r="D1168" t="str">
        <f>("Operating systems :a modern perspective /")</f>
        <v>Operating systems :a modern perspective /</v>
      </c>
      <c r="E1168" t="str">
        <f>("Nutt, Gary J ")</f>
        <v xml:space="preserve">Nutt, Gary J </v>
      </c>
      <c r="F1168" t="str">
        <f>("Addison-Wesley,")</f>
        <v>Addison-Wesley,</v>
      </c>
      <c r="H1168" t="str">
        <f t="shared" si="470"/>
        <v>圖書 book</v>
      </c>
      <c r="I1168" t="str">
        <f>("QA76.76.O63 N976 1997")</f>
        <v>QA76.76.O63 N976 1997</v>
      </c>
      <c r="J1168" t="str">
        <f>("0805312951")</f>
        <v>0805312951</v>
      </c>
      <c r="K1168" t="str">
        <f t="shared" ref="K1168:K1204" si="477">("0")</f>
        <v>0</v>
      </c>
      <c r="L1168" t="str">
        <f t="shared" si="475"/>
        <v>2001/10/10 00:00:00</v>
      </c>
      <c r="M1168" t="str">
        <f>("2018/08/11 13:31:46")</f>
        <v>2018/08/11 13:31:46</v>
      </c>
      <c r="N1168" t="str">
        <f>("1997")</f>
        <v>1997</v>
      </c>
      <c r="O1168" t="str">
        <f t="shared" si="471"/>
        <v>4F西文書庫 4F Western Language Books</v>
      </c>
      <c r="P1168" t="s">
        <v>64</v>
      </c>
      <c r="S1168" t="str">
        <f>("xxii, 630 p. :")</f>
        <v>xxii, 630 p. :</v>
      </c>
      <c r="T1168" t="str">
        <f>("ill. ;")</f>
        <v>ill. ;</v>
      </c>
      <c r="U1168" t="str">
        <f>("24 cm.")</f>
        <v>24 cm.</v>
      </c>
      <c r="W1168" t="str">
        <f t="shared" si="474"/>
        <v>美國國會圖書分類法</v>
      </c>
      <c r="Y1168" t="str">
        <f>("QA76.76.O63")</f>
        <v>QA76.76.O63</v>
      </c>
      <c r="Z1168" t="str">
        <f>("2018/08/11 13:31:46")</f>
        <v>2018/08/11 13:31:46</v>
      </c>
      <c r="AA1168" t="str">
        <f t="shared" ref="AA1168:AA1204" si="478">("catc")</f>
        <v>catc</v>
      </c>
      <c r="AC1168" t="str">
        <f>("N976")</f>
        <v>N976</v>
      </c>
      <c r="AE1168" t="str">
        <f t="shared" si="462"/>
        <v>c.1</v>
      </c>
      <c r="AF1168" t="str">
        <f t="shared" si="472"/>
        <v>1.可借圖書</v>
      </c>
      <c r="AG1168" t="str">
        <f t="shared" si="473"/>
        <v>在架</v>
      </c>
      <c r="AI1168" t="s">
        <v>65</v>
      </c>
      <c r="AK1168" t="str">
        <f t="shared" ref="AK1168:AK1204" si="479">("一般(Normal)")</f>
        <v>一般(Normal)</v>
      </c>
      <c r="AO1168" t="s">
        <v>65</v>
      </c>
      <c r="AS1168" t="str">
        <f>("c1997.")</f>
        <v>c1997.</v>
      </c>
      <c r="AT1168" t="str">
        <f t="shared" ref="AT1168:AT1204" si="480">("catc")</f>
        <v>catc</v>
      </c>
    </row>
    <row r="1169" spans="2:46" x14ac:dyDescent="0.25">
      <c r="B1169" t="str">
        <f>("287721")</f>
        <v>287721</v>
      </c>
      <c r="C1169" t="str">
        <f>("W00003239")</f>
        <v>W00003239</v>
      </c>
      <c r="D1169" t="str">
        <f>("Presenting Java /")</f>
        <v>Presenting Java /</v>
      </c>
      <c r="E1169" t="str">
        <f>("December, John.")</f>
        <v>December, John.</v>
      </c>
      <c r="F1169" t="str">
        <f>("Sams.net,")</f>
        <v>Sams.net,</v>
      </c>
      <c r="G1169" t="str">
        <f>("1st ed.")</f>
        <v>1st ed.</v>
      </c>
      <c r="H1169" t="str">
        <f t="shared" si="470"/>
        <v>圖書 book</v>
      </c>
      <c r="I1169" t="str">
        <f>("QA76.73.J38 D292 1995")</f>
        <v>QA76.73.J38 D292 1995</v>
      </c>
      <c r="J1169" t="str">
        <f>("1575210398")</f>
        <v>1575210398</v>
      </c>
      <c r="K1169" t="str">
        <f t="shared" si="477"/>
        <v>0</v>
      </c>
      <c r="L1169" t="str">
        <f t="shared" si="475"/>
        <v>2001/10/10 00:00:00</v>
      </c>
      <c r="M1169" t="str">
        <f>("2018/08/11 13:31:46")</f>
        <v>2018/08/11 13:31:46</v>
      </c>
      <c r="N1169" t="str">
        <f>("1995")</f>
        <v>1995</v>
      </c>
      <c r="O1169" t="str">
        <f t="shared" si="471"/>
        <v>4F西文書庫 4F Western Language Books</v>
      </c>
      <c r="P1169" t="s">
        <v>64</v>
      </c>
      <c r="W1169" t="str">
        <f t="shared" si="474"/>
        <v>美國國會圖書分類法</v>
      </c>
      <c r="Y1169" t="str">
        <f>("QA76.73.J38")</f>
        <v>QA76.73.J38</v>
      </c>
      <c r="Z1169" t="str">
        <f>("2018/08/11 13:31:46")</f>
        <v>2018/08/11 13:31:46</v>
      </c>
      <c r="AA1169" t="str">
        <f t="shared" si="478"/>
        <v>catc</v>
      </c>
      <c r="AC1169" t="str">
        <f>("D292")</f>
        <v>D292</v>
      </c>
      <c r="AE1169" t="str">
        <f t="shared" si="462"/>
        <v>c.1</v>
      </c>
      <c r="AF1169" t="str">
        <f t="shared" si="472"/>
        <v>1.可借圖書</v>
      </c>
      <c r="AG1169" t="str">
        <f t="shared" si="473"/>
        <v>在架</v>
      </c>
      <c r="AI1169" t="s">
        <v>65</v>
      </c>
      <c r="AK1169" t="str">
        <f t="shared" si="479"/>
        <v>一般(Normal)</v>
      </c>
      <c r="AO1169" t="s">
        <v>65</v>
      </c>
      <c r="AS1169" t="str">
        <f>("c1995.")</f>
        <v>c1995.</v>
      </c>
      <c r="AT1169" t="str">
        <f t="shared" si="480"/>
        <v>catc</v>
      </c>
    </row>
    <row r="1170" spans="2:46" x14ac:dyDescent="0.25">
      <c r="B1170" t="str">
        <f>("287709")</f>
        <v>287709</v>
      </c>
      <c r="C1170" t="str">
        <f>("W00003240")</f>
        <v>W00003240</v>
      </c>
      <c r="D1170" t="str">
        <f>("Prolog programming in depth /")</f>
        <v>Prolog programming in depth /</v>
      </c>
      <c r="E1170" t="str">
        <f>("Covington, Michael A.,1957-")</f>
        <v>Covington, Michael A.,1957-</v>
      </c>
      <c r="F1170" t="str">
        <f>("Scott, Foresman,")</f>
        <v>Scott, Foresman,</v>
      </c>
      <c r="H1170" t="str">
        <f t="shared" si="470"/>
        <v>圖書 book</v>
      </c>
      <c r="I1170" t="str">
        <f>("QA76.73.P76 C873 1988")</f>
        <v>QA76.73.P76 C873 1988</v>
      </c>
      <c r="J1170" t="str">
        <f>("0673186598")</f>
        <v>0673186598</v>
      </c>
      <c r="K1170" t="str">
        <f t="shared" si="477"/>
        <v>0</v>
      </c>
      <c r="L1170" t="str">
        <f t="shared" si="475"/>
        <v>2001/10/10 00:00:00</v>
      </c>
      <c r="M1170" t="str">
        <f>("2018/08/11 13:31:46")</f>
        <v>2018/08/11 13:31:46</v>
      </c>
      <c r="N1170" t="str">
        <f>("1988")</f>
        <v>1988</v>
      </c>
      <c r="O1170" t="str">
        <f t="shared" si="471"/>
        <v>4F西文書庫 4F Western Language Books</v>
      </c>
      <c r="P1170" t="s">
        <v>64</v>
      </c>
      <c r="W1170" t="str">
        <f t="shared" si="474"/>
        <v>美國國會圖書分類法</v>
      </c>
      <c r="Y1170" t="str">
        <f>("QA76.73.P76")</f>
        <v>QA76.73.P76</v>
      </c>
      <c r="Z1170" t="str">
        <f>("2018/08/11 13:31:46")</f>
        <v>2018/08/11 13:31:46</v>
      </c>
      <c r="AA1170" t="str">
        <f t="shared" si="478"/>
        <v>catc</v>
      </c>
      <c r="AC1170" t="str">
        <f>("C873")</f>
        <v>C873</v>
      </c>
      <c r="AE1170" t="str">
        <f t="shared" si="462"/>
        <v>c.1</v>
      </c>
      <c r="AF1170" t="str">
        <f t="shared" si="472"/>
        <v>1.可借圖書</v>
      </c>
      <c r="AG1170" t="str">
        <f t="shared" si="473"/>
        <v>在架</v>
      </c>
      <c r="AI1170" t="s">
        <v>65</v>
      </c>
      <c r="AK1170" t="str">
        <f t="shared" si="479"/>
        <v>一般(Normal)</v>
      </c>
      <c r="AO1170" t="s">
        <v>65</v>
      </c>
      <c r="AS1170" t="str">
        <f>("c1988.")</f>
        <v>c1988.</v>
      </c>
      <c r="AT1170" t="str">
        <f t="shared" si="480"/>
        <v>catc</v>
      </c>
    </row>
    <row r="1171" spans="2:46" x14ac:dyDescent="0.25">
      <c r="B1171" t="str">
        <f>("287711")</f>
        <v>287711</v>
      </c>
      <c r="C1171" t="str">
        <f>("W00003241")</f>
        <v>W00003241</v>
      </c>
      <c r="D1171" t="str">
        <f>("Sybase DBA survival guide /")</f>
        <v>Sybase DBA survival guide /</v>
      </c>
      <c r="E1171" t="str">
        <f>("Garbus, Jeffrey R.")</f>
        <v>Garbus, Jeffrey R.</v>
      </c>
      <c r="F1171" t="str">
        <f>("Sams Pub.,")</f>
        <v>Sams Pub.,</v>
      </c>
      <c r="H1171" t="str">
        <f t="shared" si="470"/>
        <v>圖書 book</v>
      </c>
      <c r="I1171" t="str">
        <f>("QA76.9.D3 G214 1995")</f>
        <v>QA76.9.D3 G214 1995</v>
      </c>
      <c r="J1171" t="str">
        <f>("0672306514")</f>
        <v>0672306514</v>
      </c>
      <c r="K1171" t="str">
        <f t="shared" si="477"/>
        <v>0</v>
      </c>
      <c r="L1171" t="str">
        <f t="shared" si="475"/>
        <v>2001/10/10 00:00:00</v>
      </c>
      <c r="M1171" t="str">
        <f>("2018/08/11 13:31:46")</f>
        <v>2018/08/11 13:31:46</v>
      </c>
      <c r="N1171" t="str">
        <f>("1995")</f>
        <v>1995</v>
      </c>
      <c r="O1171" t="str">
        <f t="shared" si="471"/>
        <v>4F西文書庫 4F Western Language Books</v>
      </c>
      <c r="P1171" t="s">
        <v>64</v>
      </c>
      <c r="Q1171" t="str">
        <f>("一片磁片")</f>
        <v>一片磁片</v>
      </c>
      <c r="W1171" t="str">
        <f t="shared" si="474"/>
        <v>美國國會圖書分類法</v>
      </c>
      <c r="Y1171" t="str">
        <f>("QA76.9.D3")</f>
        <v>QA76.9.D3</v>
      </c>
      <c r="Z1171" t="str">
        <f>("2018/08/11 13:31:46")</f>
        <v>2018/08/11 13:31:46</v>
      </c>
      <c r="AA1171" t="str">
        <f t="shared" si="478"/>
        <v>catc</v>
      </c>
      <c r="AC1171" t="str">
        <f>("G214")</f>
        <v>G214</v>
      </c>
      <c r="AE1171" t="str">
        <f t="shared" si="462"/>
        <v>c.1</v>
      </c>
      <c r="AF1171" t="str">
        <f t="shared" si="472"/>
        <v>1.可借圖書</v>
      </c>
      <c r="AG1171" t="str">
        <f t="shared" si="473"/>
        <v>在架</v>
      </c>
      <c r="AI1171" t="s">
        <v>65</v>
      </c>
      <c r="AK1171" t="str">
        <f t="shared" si="479"/>
        <v>一般(Normal)</v>
      </c>
      <c r="AO1171" t="s">
        <v>65</v>
      </c>
      <c r="AS1171" t="str">
        <f>("c1995.")</f>
        <v>c1995.</v>
      </c>
      <c r="AT1171" t="str">
        <f t="shared" si="480"/>
        <v>catc</v>
      </c>
    </row>
    <row r="1172" spans="2:46" x14ac:dyDescent="0.25">
      <c r="B1172" t="str">
        <f>("287741")</f>
        <v>287741</v>
      </c>
      <c r="C1172" t="str">
        <f>("W00003242")</f>
        <v>W00003242</v>
      </c>
      <c r="D1172" t="str">
        <f>("Web page :scripting techniques /")</f>
        <v>Web page :scripting techniques /</v>
      </c>
      <c r="E1172" t="str">
        <f>("Bloomberg, Jason.")</f>
        <v>Bloomberg, Jason.</v>
      </c>
      <c r="F1172" t="str">
        <f>("Hayden Books,")</f>
        <v>Hayden Books,</v>
      </c>
      <c r="H1172" t="str">
        <f t="shared" si="470"/>
        <v>圖書 book</v>
      </c>
      <c r="I1172" t="str">
        <f>("QA76.76.H94 B655 1996")</f>
        <v>QA76.76.H94 B655 1996</v>
      </c>
      <c r="J1172" t="str">
        <f>("1568303076")</f>
        <v>1568303076</v>
      </c>
      <c r="K1172" t="str">
        <f t="shared" si="477"/>
        <v>0</v>
      </c>
      <c r="L1172" t="str">
        <f t="shared" si="475"/>
        <v>2001/10/10 00:00:00</v>
      </c>
      <c r="M1172" t="str">
        <f>("2018/08/11 13:31:49")</f>
        <v>2018/08/11 13:31:49</v>
      </c>
      <c r="N1172" t="str">
        <f>("1996")</f>
        <v>1996</v>
      </c>
      <c r="O1172" t="str">
        <f t="shared" si="471"/>
        <v>4F西文書庫 4F Western Language Books</v>
      </c>
      <c r="P1172" t="s">
        <v>64</v>
      </c>
      <c r="W1172" t="str">
        <f t="shared" si="474"/>
        <v>美國國會圖書分類法</v>
      </c>
      <c r="Y1172" t="str">
        <f>("QA76.76.H94")</f>
        <v>QA76.76.H94</v>
      </c>
      <c r="Z1172" t="str">
        <f>("2018/08/11 13:31:49")</f>
        <v>2018/08/11 13:31:49</v>
      </c>
      <c r="AA1172" t="str">
        <f t="shared" si="478"/>
        <v>catc</v>
      </c>
      <c r="AC1172" t="str">
        <f>("B655")</f>
        <v>B655</v>
      </c>
      <c r="AE1172" t="str">
        <f t="shared" si="462"/>
        <v>c.1</v>
      </c>
      <c r="AF1172" t="str">
        <f t="shared" si="472"/>
        <v>1.可借圖書</v>
      </c>
      <c r="AG1172" t="str">
        <f t="shared" si="473"/>
        <v>在架</v>
      </c>
      <c r="AI1172" t="s">
        <v>65</v>
      </c>
      <c r="AK1172" t="str">
        <f t="shared" si="479"/>
        <v>一般(Normal)</v>
      </c>
      <c r="AO1172" t="s">
        <v>65</v>
      </c>
      <c r="AS1172" t="str">
        <f>("c1996.")</f>
        <v>c1996.</v>
      </c>
      <c r="AT1172" t="str">
        <f t="shared" si="480"/>
        <v>catc</v>
      </c>
    </row>
    <row r="1173" spans="2:46" x14ac:dyDescent="0.25">
      <c r="B1173" t="str">
        <f>("287710")</f>
        <v>287710</v>
      </c>
      <c r="C1173" t="str">
        <f>("W00003243")</f>
        <v>W00003243</v>
      </c>
      <c r="D1173" t="str">
        <f>("101 computer answers you need to know /")</f>
        <v>101 computer answers you need to know /</v>
      </c>
      <c r="E1173" t="str">
        <f>("Smith, Gina.")</f>
        <v>Smith, Gina.</v>
      </c>
      <c r="F1173" t="str">
        <f>("Ziff-Davis Press,")</f>
        <v>Ziff-Davis Press,</v>
      </c>
      <c r="H1173" t="str">
        <f t="shared" si="470"/>
        <v>圖書 book</v>
      </c>
      <c r="I1173" t="str">
        <f>("QA76.5 S648 1995")</f>
        <v>QA76.5 S648 1995</v>
      </c>
      <c r="J1173" t="str">
        <f>("1562763393")</f>
        <v>1562763393</v>
      </c>
      <c r="K1173" t="str">
        <f t="shared" si="477"/>
        <v>0</v>
      </c>
      <c r="L1173" t="str">
        <f t="shared" si="475"/>
        <v>2001/10/10 00:00:00</v>
      </c>
      <c r="M1173" t="str">
        <f>("2018/08/11 13:31:46")</f>
        <v>2018/08/11 13:31:46</v>
      </c>
      <c r="N1173" t="str">
        <f>("1995")</f>
        <v>1995</v>
      </c>
      <c r="O1173" t="str">
        <f t="shared" si="471"/>
        <v>4F西文書庫 4F Western Language Books</v>
      </c>
      <c r="P1173" t="s">
        <v>64</v>
      </c>
      <c r="W1173" t="str">
        <f t="shared" si="474"/>
        <v>美國國會圖書分類法</v>
      </c>
      <c r="Y1173" t="str">
        <f>("QA76.5")</f>
        <v>QA76.5</v>
      </c>
      <c r="Z1173" t="str">
        <f>("2018/08/11 13:31:46")</f>
        <v>2018/08/11 13:31:46</v>
      </c>
      <c r="AA1173" t="str">
        <f t="shared" si="478"/>
        <v>catc</v>
      </c>
      <c r="AC1173" t="str">
        <f>("S648")</f>
        <v>S648</v>
      </c>
      <c r="AE1173" t="str">
        <f t="shared" si="462"/>
        <v>c.1</v>
      </c>
      <c r="AF1173" t="str">
        <f t="shared" si="472"/>
        <v>1.可借圖書</v>
      </c>
      <c r="AG1173" t="str">
        <f t="shared" si="473"/>
        <v>在架</v>
      </c>
      <c r="AI1173" t="s">
        <v>65</v>
      </c>
      <c r="AK1173" t="str">
        <f t="shared" si="479"/>
        <v>一般(Normal)</v>
      </c>
      <c r="AO1173" t="s">
        <v>65</v>
      </c>
      <c r="AS1173" t="str">
        <f>("c1995.")</f>
        <v>c1995.</v>
      </c>
      <c r="AT1173" t="str">
        <f t="shared" si="480"/>
        <v>catc</v>
      </c>
    </row>
    <row r="1174" spans="2:46" x14ac:dyDescent="0.25">
      <c r="B1174" t="str">
        <f>("287713")</f>
        <v>287713</v>
      </c>
      <c r="C1174" t="str">
        <f>("W00003244")</f>
        <v>W00003244</v>
      </c>
      <c r="D1174" t="str">
        <f>("Dynamic HTML in action /")</f>
        <v>Dynamic HTML in action /</v>
      </c>
      <c r="E1174" t="str">
        <f>("Pardi, William J.")</f>
        <v>Pardi, William J.</v>
      </c>
      <c r="F1174" t="str">
        <f>("Microsoft Press,")</f>
        <v>Microsoft Press,</v>
      </c>
      <c r="H1174" t="str">
        <f t="shared" si="470"/>
        <v>圖書 book</v>
      </c>
      <c r="I1174" t="str">
        <f>("QA76.76.H94 P226 1998")</f>
        <v>QA76.76.H94 P226 1998</v>
      </c>
      <c r="J1174" t="str">
        <f>("1572318201")</f>
        <v>1572318201</v>
      </c>
      <c r="K1174" t="str">
        <f t="shared" si="477"/>
        <v>0</v>
      </c>
      <c r="L1174" t="str">
        <f t="shared" si="475"/>
        <v>2001/10/10 00:00:00</v>
      </c>
      <c r="M1174" t="str">
        <f>("2018/08/11 13:31:46")</f>
        <v>2018/08/11 13:31:46</v>
      </c>
      <c r="N1174" t="str">
        <f>("1998")</f>
        <v>1998</v>
      </c>
      <c r="O1174" t="str">
        <f t="shared" si="471"/>
        <v>4F西文書庫 4F Western Language Books</v>
      </c>
      <c r="P1174" t="s">
        <v>64</v>
      </c>
      <c r="W1174" t="str">
        <f t="shared" si="474"/>
        <v>美國國會圖書分類法</v>
      </c>
      <c r="Y1174" t="str">
        <f>("QA76.76.H94")</f>
        <v>QA76.76.H94</v>
      </c>
      <c r="Z1174" t="str">
        <f>("2018/08/11 13:31:46")</f>
        <v>2018/08/11 13:31:46</v>
      </c>
      <c r="AA1174" t="str">
        <f t="shared" si="478"/>
        <v>catc</v>
      </c>
      <c r="AC1174" t="str">
        <f>("P226")</f>
        <v>P226</v>
      </c>
      <c r="AE1174" t="str">
        <f t="shared" si="462"/>
        <v>c.1</v>
      </c>
      <c r="AF1174" t="str">
        <f t="shared" si="472"/>
        <v>1.可借圖書</v>
      </c>
      <c r="AG1174" t="str">
        <f t="shared" si="473"/>
        <v>在架</v>
      </c>
      <c r="AI1174" t="s">
        <v>65</v>
      </c>
      <c r="AK1174" t="str">
        <f t="shared" si="479"/>
        <v>一般(Normal)</v>
      </c>
      <c r="AO1174" t="s">
        <v>65</v>
      </c>
      <c r="AS1174" t="str">
        <f>("c1998.")</f>
        <v>c1998.</v>
      </c>
      <c r="AT1174" t="str">
        <f t="shared" si="480"/>
        <v>catc</v>
      </c>
    </row>
    <row r="1175" spans="2:46" x14ac:dyDescent="0.25">
      <c r="B1175" t="str">
        <f>("287712")</f>
        <v>287712</v>
      </c>
      <c r="C1175" t="str">
        <f>("W00003245")</f>
        <v>W00003245</v>
      </c>
      <c r="D1175" t="str">
        <f>("Ethernet networks :design, implementation, operation, management /")</f>
        <v>Ethernet networks :design, implementation, operation, management /</v>
      </c>
      <c r="E1175" t="str">
        <f>("Held, Gilbert,1943-")</f>
        <v>Held, Gilbert,1943-</v>
      </c>
      <c r="F1175" t="str">
        <f>("John Wiley &amp; Sons,")</f>
        <v>John Wiley &amp; Sons,</v>
      </c>
      <c r="H1175" t="str">
        <f t="shared" si="470"/>
        <v>圖書 book</v>
      </c>
      <c r="I1175" t="str">
        <f>("TK5015.8.E83 H474 1994")</f>
        <v>TK5015.8.E83 H474 1994</v>
      </c>
      <c r="J1175" t="str">
        <f>("0471597171")</f>
        <v>0471597171</v>
      </c>
      <c r="K1175" t="str">
        <f t="shared" si="477"/>
        <v>0</v>
      </c>
      <c r="L1175" t="str">
        <f t="shared" si="475"/>
        <v>2001/10/10 00:00:00</v>
      </c>
      <c r="M1175" t="str">
        <f>("2018/08/11 13:31:46")</f>
        <v>2018/08/11 13:31:46</v>
      </c>
      <c r="N1175" t="str">
        <f>("1994")</f>
        <v>1994</v>
      </c>
      <c r="O1175" t="str">
        <f t="shared" si="471"/>
        <v>4F西文書庫 4F Western Language Books</v>
      </c>
      <c r="P1175" t="s">
        <v>64</v>
      </c>
      <c r="W1175" t="str">
        <f t="shared" si="474"/>
        <v>美國國會圖書分類法</v>
      </c>
      <c r="Y1175" t="str">
        <f>("TK5015.8.E83")</f>
        <v>TK5015.8.E83</v>
      </c>
      <c r="Z1175" t="str">
        <f>("2018/08/11 13:31:46")</f>
        <v>2018/08/11 13:31:46</v>
      </c>
      <c r="AA1175" t="str">
        <f t="shared" si="478"/>
        <v>catc</v>
      </c>
      <c r="AC1175" t="str">
        <f>("H474")</f>
        <v>H474</v>
      </c>
      <c r="AE1175" t="str">
        <f t="shared" si="462"/>
        <v>c.1</v>
      </c>
      <c r="AF1175" t="str">
        <f t="shared" si="472"/>
        <v>1.可借圖書</v>
      </c>
      <c r="AG1175" t="str">
        <f t="shared" si="473"/>
        <v>在架</v>
      </c>
      <c r="AI1175" t="s">
        <v>65</v>
      </c>
      <c r="AK1175" t="str">
        <f t="shared" si="479"/>
        <v>一般(Normal)</v>
      </c>
      <c r="AO1175" t="s">
        <v>65</v>
      </c>
      <c r="AS1175" t="str">
        <f>("c1994.")</f>
        <v>c1994.</v>
      </c>
      <c r="AT1175" t="str">
        <f t="shared" si="480"/>
        <v>catc</v>
      </c>
    </row>
    <row r="1176" spans="2:46" x14ac:dyDescent="0.25">
      <c r="B1176" t="str">
        <f>("290506")</f>
        <v>290506</v>
      </c>
      <c r="C1176" t="str">
        <f>("W00003246")</f>
        <v>W00003246</v>
      </c>
      <c r="D1176" t="str">
        <f>("How the Web was won :conquering the digital frontier /")</f>
        <v>How the Web was won :conquering the digital frontier /</v>
      </c>
      <c r="E1176" t="str">
        <f>("Vablais, Cerise.;Leininger, Tony.")</f>
        <v>Vablais, Cerise.;Leininger, Tony.</v>
      </c>
      <c r="F1176" t="str">
        <f>("Microsoft Press,")</f>
        <v>Microsoft Press,</v>
      </c>
      <c r="H1176" t="str">
        <f t="shared" si="470"/>
        <v>圖書 book</v>
      </c>
      <c r="I1176" t="str">
        <f>("TK5105 H847 1998")</f>
        <v>TK5105 H847 1998</v>
      </c>
      <c r="J1176" t="str">
        <f>("1572319178")</f>
        <v>1572319178</v>
      </c>
      <c r="K1176" t="str">
        <f t="shared" si="477"/>
        <v>0</v>
      </c>
      <c r="L1176" t="str">
        <f>("2001/10/16 00:00:00")</f>
        <v>2001/10/16 00:00:00</v>
      </c>
      <c r="M1176" t="str">
        <f>("2018/08/11 13:36:31")</f>
        <v>2018/08/11 13:36:31</v>
      </c>
      <c r="N1176" t="str">
        <f>("1998")</f>
        <v>1998</v>
      </c>
      <c r="O1176" t="str">
        <f t="shared" si="471"/>
        <v>4F西文書庫 4F Western Language Books</v>
      </c>
      <c r="P1176" t="s">
        <v>64</v>
      </c>
      <c r="W1176" t="str">
        <f t="shared" si="474"/>
        <v>美國國會圖書分類法</v>
      </c>
      <c r="Y1176" t="str">
        <f>("TK5105")</f>
        <v>TK5105</v>
      </c>
      <c r="Z1176" t="str">
        <f>("2018/08/11 13:36:31")</f>
        <v>2018/08/11 13:36:31</v>
      </c>
      <c r="AA1176" t="str">
        <f t="shared" si="478"/>
        <v>catc</v>
      </c>
      <c r="AC1176" t="str">
        <f>("H847")</f>
        <v>H847</v>
      </c>
      <c r="AE1176" t="str">
        <f t="shared" si="462"/>
        <v>c.1</v>
      </c>
      <c r="AF1176" t="str">
        <f t="shared" si="472"/>
        <v>1.可借圖書</v>
      </c>
      <c r="AG1176" t="str">
        <f t="shared" si="473"/>
        <v>在架</v>
      </c>
      <c r="AI1176" t="s">
        <v>65</v>
      </c>
      <c r="AK1176" t="str">
        <f t="shared" si="479"/>
        <v>一般(Normal)</v>
      </c>
      <c r="AO1176" t="s">
        <v>65</v>
      </c>
      <c r="AS1176" t="str">
        <f>("1998.")</f>
        <v>1998.</v>
      </c>
      <c r="AT1176" t="str">
        <f t="shared" si="480"/>
        <v>catc</v>
      </c>
    </row>
    <row r="1177" spans="2:46" x14ac:dyDescent="0.25">
      <c r="B1177" t="str">
        <f>("287722")</f>
        <v>287722</v>
      </c>
      <c r="C1177" t="str">
        <f>("W00003247")</f>
        <v>W00003247</v>
      </c>
      <c r="D1177" t="str">
        <f>("Information coordination :the management of information models, systems, and organizations /")</f>
        <v>Information coordination :the management of information models, systems, and organizations /</v>
      </c>
      <c r="E1177" t="str">
        <f>("Veryard, R.")</f>
        <v>Veryard, R.</v>
      </c>
      <c r="F1177" t="str">
        <f>("Prentice Hall,")</f>
        <v>Prentice Hall,</v>
      </c>
      <c r="H1177" t="str">
        <f t="shared" si="470"/>
        <v>圖書 book</v>
      </c>
      <c r="I1177" t="str">
        <f>("T58.6 V573 1994")</f>
        <v>T58.6 V573 1994</v>
      </c>
      <c r="J1177" t="str">
        <f>("0130992437")</f>
        <v>0130992437</v>
      </c>
      <c r="K1177" t="str">
        <f t="shared" si="477"/>
        <v>0</v>
      </c>
      <c r="L1177" t="str">
        <f>("2001/10/10 00:00:00")</f>
        <v>2001/10/10 00:00:00</v>
      </c>
      <c r="M1177" t="str">
        <f>("2018/08/11 13:31:47")</f>
        <v>2018/08/11 13:31:47</v>
      </c>
      <c r="N1177" t="str">
        <f>("1994")</f>
        <v>1994</v>
      </c>
      <c r="O1177" t="str">
        <f t="shared" si="471"/>
        <v>4F西文書庫 4F Western Language Books</v>
      </c>
      <c r="P1177" t="s">
        <v>64</v>
      </c>
      <c r="W1177" t="str">
        <f t="shared" si="474"/>
        <v>美國國會圖書分類法</v>
      </c>
      <c r="Y1177" t="str">
        <f>("T58.6")</f>
        <v>T58.6</v>
      </c>
      <c r="Z1177" t="str">
        <f>("2018/08/11 13:31:46")</f>
        <v>2018/08/11 13:31:46</v>
      </c>
      <c r="AA1177" t="str">
        <f t="shared" si="478"/>
        <v>catc</v>
      </c>
      <c r="AC1177" t="str">
        <f>("V573")</f>
        <v>V573</v>
      </c>
      <c r="AE1177" t="str">
        <f t="shared" si="462"/>
        <v>c.1</v>
      </c>
      <c r="AF1177" t="str">
        <f t="shared" si="472"/>
        <v>1.可借圖書</v>
      </c>
      <c r="AG1177" t="str">
        <f t="shared" si="473"/>
        <v>在架</v>
      </c>
      <c r="AI1177" t="s">
        <v>65</v>
      </c>
      <c r="AK1177" t="str">
        <f t="shared" si="479"/>
        <v>一般(Normal)</v>
      </c>
      <c r="AO1177" t="s">
        <v>65</v>
      </c>
      <c r="AS1177" t="str">
        <f>("c1994.")</f>
        <v>c1994.</v>
      </c>
      <c r="AT1177" t="str">
        <f t="shared" si="480"/>
        <v>catc</v>
      </c>
    </row>
    <row r="1178" spans="2:46" x14ac:dyDescent="0.25">
      <c r="B1178" t="str">
        <f>("290507")</f>
        <v>290507</v>
      </c>
      <c r="C1178" t="str">
        <f>("W00003248")</f>
        <v>W00003248</v>
      </c>
      <c r="D1178" t="str">
        <f>("Information systems management in practice /")</f>
        <v>Information systems management in practice /</v>
      </c>
      <c r="E1178" t="str">
        <f>("Sprague, Ralph H.;McNurlin, Barbara C.")</f>
        <v>Sprague, Ralph H.;McNurlin, Barbara C.</v>
      </c>
      <c r="F1178" t="str">
        <f>("Prentice Hall,")</f>
        <v>Prentice Hall,</v>
      </c>
      <c r="G1178" t="str">
        <f>("4th ed.")</f>
        <v>4th ed.</v>
      </c>
      <c r="H1178" t="str">
        <f t="shared" si="470"/>
        <v>圖書 book</v>
      </c>
      <c r="I1178" t="str">
        <f>("T58.64 I23 1998")</f>
        <v>T58.64 I23 1998</v>
      </c>
      <c r="J1178" t="str">
        <f>("0138479712")</f>
        <v>0138479712</v>
      </c>
      <c r="K1178" t="str">
        <f t="shared" si="477"/>
        <v>0</v>
      </c>
      <c r="L1178" t="str">
        <f>("2001/10/16 00:00:00")</f>
        <v>2001/10/16 00:00:00</v>
      </c>
      <c r="M1178" t="str">
        <f>("2018/08/11 13:36:31")</f>
        <v>2018/08/11 13:36:31</v>
      </c>
      <c r="N1178" t="str">
        <f>("1998")</f>
        <v>1998</v>
      </c>
      <c r="O1178" t="str">
        <f t="shared" si="471"/>
        <v>4F西文書庫 4F Western Language Books</v>
      </c>
      <c r="P1178" t="s">
        <v>64</v>
      </c>
      <c r="W1178" t="str">
        <f t="shared" si="474"/>
        <v>美國國會圖書分類法</v>
      </c>
      <c r="Y1178" t="str">
        <f>("T58.64")</f>
        <v>T58.64</v>
      </c>
      <c r="Z1178" t="str">
        <f>("2018/08/11 13:36:31")</f>
        <v>2018/08/11 13:36:31</v>
      </c>
      <c r="AA1178" t="str">
        <f t="shared" si="478"/>
        <v>catc</v>
      </c>
      <c r="AC1178" t="str">
        <f>("I23")</f>
        <v>I23</v>
      </c>
      <c r="AE1178" t="str">
        <f t="shared" si="462"/>
        <v>c.1</v>
      </c>
      <c r="AF1178" t="str">
        <f t="shared" si="472"/>
        <v>1.可借圖書</v>
      </c>
      <c r="AG1178" t="str">
        <f t="shared" si="473"/>
        <v>在架</v>
      </c>
      <c r="AI1178" t="s">
        <v>65</v>
      </c>
      <c r="AK1178" t="str">
        <f t="shared" si="479"/>
        <v>一般(Normal)</v>
      </c>
      <c r="AO1178" t="s">
        <v>65</v>
      </c>
      <c r="AS1178" t="str">
        <f>("1998.")</f>
        <v>1998.</v>
      </c>
      <c r="AT1178" t="str">
        <f t="shared" si="480"/>
        <v>catc</v>
      </c>
    </row>
    <row r="1179" spans="2:46" x14ac:dyDescent="0.25">
      <c r="B1179" t="str">
        <f>("287723")</f>
        <v>287723</v>
      </c>
      <c r="C1179" t="str">
        <f>("W00003249")</f>
        <v>W00003249</v>
      </c>
      <c r="D1179" t="str">
        <f>("Introduction to parallel computing /")</f>
        <v>Introduction to parallel computing /</v>
      </c>
      <c r="E1179" t="str">
        <f>("El-Rewini, Hesham.;Kim, In-Kyu.")</f>
        <v>El-Rewini, Hesham.;Kim, In-Kyu.</v>
      </c>
      <c r="F1179" t="str">
        <f>("Prentice Hall,")</f>
        <v>Prentice Hall,</v>
      </c>
      <c r="H1179" t="str">
        <f t="shared" si="470"/>
        <v>圖書 book</v>
      </c>
      <c r="I1179" t="str">
        <f>("QA76.58 L676 1992")</f>
        <v>QA76.58 L676 1992</v>
      </c>
      <c r="J1179" t="str">
        <f>("0134989244;0134989163")</f>
        <v>0134989244;0134989163</v>
      </c>
      <c r="K1179" t="str">
        <f t="shared" si="477"/>
        <v>0</v>
      </c>
      <c r="L1179" t="str">
        <f>("2001/10/10 00:00:00")</f>
        <v>2001/10/10 00:00:00</v>
      </c>
      <c r="M1179" t="str">
        <f>("2018/08/11 13:31:47")</f>
        <v>2018/08/11 13:31:47</v>
      </c>
      <c r="N1179" t="str">
        <f>("1992")</f>
        <v>1992</v>
      </c>
      <c r="O1179" t="str">
        <f t="shared" si="471"/>
        <v>4F西文書庫 4F Western Language Books</v>
      </c>
      <c r="P1179" t="s">
        <v>64</v>
      </c>
      <c r="W1179" t="str">
        <f t="shared" si="474"/>
        <v>美國國會圖書分類法</v>
      </c>
      <c r="Y1179" t="str">
        <f>("QA76.58")</f>
        <v>QA76.58</v>
      </c>
      <c r="Z1179" t="str">
        <f>("2018/08/11 13:31:47")</f>
        <v>2018/08/11 13:31:47</v>
      </c>
      <c r="AA1179" t="str">
        <f t="shared" si="478"/>
        <v>catc</v>
      </c>
      <c r="AC1179" t="str">
        <f>("L676")</f>
        <v>L676</v>
      </c>
      <c r="AE1179" t="str">
        <f t="shared" si="462"/>
        <v>c.1</v>
      </c>
      <c r="AF1179" t="str">
        <f t="shared" si="472"/>
        <v>1.可借圖書</v>
      </c>
      <c r="AG1179" t="str">
        <f t="shared" si="473"/>
        <v>在架</v>
      </c>
      <c r="AI1179" t="s">
        <v>65</v>
      </c>
      <c r="AK1179" t="str">
        <f t="shared" si="479"/>
        <v>一般(Normal)</v>
      </c>
      <c r="AO1179" t="s">
        <v>65</v>
      </c>
      <c r="AS1179" t="str">
        <f>("c1992.")</f>
        <v>c1992.</v>
      </c>
      <c r="AT1179" t="str">
        <f t="shared" si="480"/>
        <v>catc</v>
      </c>
    </row>
    <row r="1180" spans="2:46" x14ac:dyDescent="0.25">
      <c r="B1180" t="str">
        <f>("287724")</f>
        <v>287724</v>
      </c>
      <c r="C1180" t="str">
        <f>("W00003250")</f>
        <v>W00003250</v>
      </c>
      <c r="D1180" t="str">
        <f>("An introduction to expert systems :knowledge-based systems /")</f>
        <v>An introduction to expert systems :knowledge-based systems /</v>
      </c>
      <c r="E1180" t="str">
        <f>("Mockler, Robert J.")</f>
        <v>Mockler, Robert J.</v>
      </c>
      <c r="F1180" t="str">
        <f>("Macmillan ;;Maxwell Macmillan Canada ;;Maxwell Macmillan International,")</f>
        <v>Macmillan ;;Maxwell Macmillan Canada ;;Maxwell Macmillan International,</v>
      </c>
      <c r="H1180" t="str">
        <f t="shared" si="470"/>
        <v>圖書 book</v>
      </c>
      <c r="I1180" t="str">
        <f>("QA76.76.E95 M688 1992")</f>
        <v>QA76.76.E95 M688 1992</v>
      </c>
      <c r="J1180" t="str">
        <f>("0023818972")</f>
        <v>0023818972</v>
      </c>
      <c r="K1180" t="str">
        <f t="shared" si="477"/>
        <v>0</v>
      </c>
      <c r="L1180" t="str">
        <f>("2001/10/10 00:00:00")</f>
        <v>2001/10/10 00:00:00</v>
      </c>
      <c r="M1180" t="str">
        <f>("2018/08/11 13:31:47")</f>
        <v>2018/08/11 13:31:47</v>
      </c>
      <c r="N1180" t="str">
        <f>("1992")</f>
        <v>1992</v>
      </c>
      <c r="O1180" t="str">
        <f t="shared" si="471"/>
        <v>4F西文書庫 4F Western Language Books</v>
      </c>
      <c r="P1180" t="s">
        <v>64</v>
      </c>
      <c r="W1180" t="str">
        <f t="shared" si="474"/>
        <v>美國國會圖書分類法</v>
      </c>
      <c r="Y1180" t="str">
        <f>("QA76.76.E95")</f>
        <v>QA76.76.E95</v>
      </c>
      <c r="Z1180" t="str">
        <f>("2018/08/11 13:31:47")</f>
        <v>2018/08/11 13:31:47</v>
      </c>
      <c r="AA1180" t="str">
        <f t="shared" si="478"/>
        <v>catc</v>
      </c>
      <c r="AC1180" t="str">
        <f>("M688")</f>
        <v>M688</v>
      </c>
      <c r="AE1180" t="str">
        <f t="shared" si="462"/>
        <v>c.1</v>
      </c>
      <c r="AF1180" t="str">
        <f t="shared" si="472"/>
        <v>1.可借圖書</v>
      </c>
      <c r="AG1180" t="str">
        <f t="shared" si="473"/>
        <v>在架</v>
      </c>
      <c r="AI1180" t="s">
        <v>65</v>
      </c>
      <c r="AK1180" t="str">
        <f t="shared" si="479"/>
        <v>一般(Normal)</v>
      </c>
      <c r="AO1180" t="s">
        <v>65</v>
      </c>
      <c r="AS1180" t="str">
        <f>("c1992.")</f>
        <v>c1992.</v>
      </c>
      <c r="AT1180" t="str">
        <f t="shared" si="480"/>
        <v>catc</v>
      </c>
    </row>
    <row r="1181" spans="2:46" x14ac:dyDescent="0.25">
      <c r="B1181" t="str">
        <f>("290508")</f>
        <v>290508</v>
      </c>
      <c r="C1181" t="str">
        <f>("W00003251")</f>
        <v>W00003251</v>
      </c>
      <c r="D1181" t="str">
        <f>("Microsoft Visual InterDev 6.0 :programmer's guide.")</f>
        <v>Microsoft Visual InterDev 6.0 :programmer's guide.</v>
      </c>
      <c r="E1181" t="str">
        <f>("Microsoft Press.")</f>
        <v>Microsoft Press.</v>
      </c>
      <c r="F1181" t="str">
        <f>("Microsoft Press,")</f>
        <v>Microsoft Press,</v>
      </c>
      <c r="H1181" t="str">
        <f t="shared" si="470"/>
        <v>圖書 book</v>
      </c>
      <c r="I1181" t="str">
        <f>("TK5105.8885.M55 M626 1998")</f>
        <v>TK5105.8885.M55 M626 1998</v>
      </c>
      <c r="J1181" t="str">
        <f>("1572318678")</f>
        <v>1572318678</v>
      </c>
      <c r="K1181" t="str">
        <f t="shared" si="477"/>
        <v>0</v>
      </c>
      <c r="L1181" t="str">
        <f>("2001/10/16 00:00:00")</f>
        <v>2001/10/16 00:00:00</v>
      </c>
      <c r="M1181" t="str">
        <f>("2018/08/11 13:36:31")</f>
        <v>2018/08/11 13:36:31</v>
      </c>
      <c r="N1181" t="str">
        <f>("1998")</f>
        <v>1998</v>
      </c>
      <c r="O1181" t="str">
        <f>("罕用書庫1-洽櫃台填單 Upon-Request Collection1 fil")</f>
        <v>罕用書庫1-洽櫃台填單 Upon-Request Collection1 fil</v>
      </c>
      <c r="P1181" t="s">
        <v>64</v>
      </c>
      <c r="S1181" t="str">
        <f>("xxii, 480 p. :")</f>
        <v>xxii, 480 p. :</v>
      </c>
      <c r="T1181" t="str">
        <f>("ill. ;")</f>
        <v>ill. ;</v>
      </c>
      <c r="U1181" t="str">
        <f>("23 cm.")</f>
        <v>23 cm.</v>
      </c>
      <c r="W1181" t="str">
        <f t="shared" si="474"/>
        <v>美國國會圖書分類法</v>
      </c>
      <c r="Y1181" t="str">
        <f>("TK5105.8885.M55")</f>
        <v>TK5105.8885.M55</v>
      </c>
      <c r="Z1181" t="str">
        <f>("2018/08/11 13:36:31")</f>
        <v>2018/08/11 13:36:31</v>
      </c>
      <c r="AA1181" t="str">
        <f t="shared" si="478"/>
        <v>catc</v>
      </c>
      <c r="AC1181" t="str">
        <f>("M626")</f>
        <v>M626</v>
      </c>
      <c r="AE1181" t="str">
        <f t="shared" si="462"/>
        <v>c.1</v>
      </c>
      <c r="AF1181" t="str">
        <f>("不流通")</f>
        <v>不流通</v>
      </c>
      <c r="AG1181" t="str">
        <f>("報銷中")</f>
        <v>報銷中</v>
      </c>
      <c r="AI1181" t="s">
        <v>65</v>
      </c>
      <c r="AK1181" t="str">
        <f t="shared" si="479"/>
        <v>一般(Normal)</v>
      </c>
      <c r="AO1181" t="s">
        <v>65</v>
      </c>
      <c r="AS1181" t="str">
        <f>("c1998.")</f>
        <v>c1998.</v>
      </c>
      <c r="AT1181" t="str">
        <f t="shared" si="480"/>
        <v>catc</v>
      </c>
    </row>
    <row r="1182" spans="2:46" x14ac:dyDescent="0.25">
      <c r="B1182" t="str">
        <f>("287725")</f>
        <v>287725</v>
      </c>
      <c r="C1182" t="str">
        <f>("W00003252")</f>
        <v>W00003252</v>
      </c>
      <c r="D1182" t="str">
        <f>("An introduction to object-oriented programming /")</f>
        <v>An introduction to object-oriented programming /</v>
      </c>
      <c r="E1182" t="str">
        <f>("Budd,1997    .;Budd, Timothy. ")</f>
        <v xml:space="preserve">Budd,1997    .;Budd, Timothy. </v>
      </c>
      <c r="F1182" t="str">
        <f>("Addison-Wesley,")</f>
        <v>Addison-Wesley,</v>
      </c>
      <c r="G1182" t="str">
        <f>("2nd ed.")</f>
        <v>2nd ed.</v>
      </c>
      <c r="H1182" t="str">
        <f t="shared" si="470"/>
        <v>圖書 book</v>
      </c>
      <c r="I1182" t="str">
        <f>("QA76.64 B927-2 1997")</f>
        <v>QA76.64 B927-2 1997</v>
      </c>
      <c r="J1182" t="str">
        <f>("0201824191")</f>
        <v>0201824191</v>
      </c>
      <c r="K1182" t="str">
        <f t="shared" si="477"/>
        <v>0</v>
      </c>
      <c r="L1182" t="str">
        <f>("2001/10/10 00:00:00")</f>
        <v>2001/10/10 00:00:00</v>
      </c>
      <c r="M1182" t="str">
        <f>("2018/08/11 13:31:47")</f>
        <v>2018/08/11 13:31:47</v>
      </c>
      <c r="N1182" t="str">
        <f>("1997")</f>
        <v>1997</v>
      </c>
      <c r="O1182" t="str">
        <f t="shared" ref="O1182:O1190" si="481">("4F西文書庫 4F Western Language Books")</f>
        <v>4F西文書庫 4F Western Language Books</v>
      </c>
      <c r="P1182" t="s">
        <v>64</v>
      </c>
      <c r="S1182" t="str">
        <f>("xviii, 452 p. :")</f>
        <v>xviii, 452 p. :</v>
      </c>
      <c r="T1182" t="str">
        <f>("ill. ;")</f>
        <v>ill. ;</v>
      </c>
      <c r="U1182" t="str">
        <f>("24 cm.")</f>
        <v>24 cm.</v>
      </c>
      <c r="W1182" t="str">
        <f t="shared" si="474"/>
        <v>美國國會圖書分類法</v>
      </c>
      <c r="Y1182" t="str">
        <f>("QA76.64")</f>
        <v>QA76.64</v>
      </c>
      <c r="Z1182" t="str">
        <f>("2018/08/11 13:31:47")</f>
        <v>2018/08/11 13:31:47</v>
      </c>
      <c r="AA1182" t="str">
        <f t="shared" si="478"/>
        <v>catc</v>
      </c>
      <c r="AC1182" t="str">
        <f>("B927-2")</f>
        <v>B927-2</v>
      </c>
      <c r="AE1182" t="str">
        <f t="shared" ref="AE1182:AE1192" si="482">("c.1")</f>
        <v>c.1</v>
      </c>
      <c r="AF1182" t="str">
        <f t="shared" ref="AF1182:AF1190" si="483">("1.可借圖書")</f>
        <v>1.可借圖書</v>
      </c>
      <c r="AG1182" t="str">
        <f t="shared" ref="AG1182:AG1190" si="484">("在架")</f>
        <v>在架</v>
      </c>
      <c r="AI1182" t="s">
        <v>65</v>
      </c>
      <c r="AK1182" t="str">
        <f t="shared" si="479"/>
        <v>一般(Normal)</v>
      </c>
      <c r="AO1182" t="s">
        <v>65</v>
      </c>
      <c r="AS1182" t="str">
        <f>("c1997.")</f>
        <v>c1997.</v>
      </c>
      <c r="AT1182" t="str">
        <f t="shared" si="480"/>
        <v>catc</v>
      </c>
    </row>
    <row r="1183" spans="2:46" x14ac:dyDescent="0.25">
      <c r="B1183" t="str">
        <f>("287714")</f>
        <v>287714</v>
      </c>
      <c r="C1183" t="str">
        <f>("W00003253")</f>
        <v>W00003253</v>
      </c>
      <c r="D1183" t="str">
        <f>("Oracle database administration on UNIX systems /")</f>
        <v>Oracle database administration on UNIX systems /</v>
      </c>
      <c r="E1183" t="str">
        <f>("Brown, Lynnwood.;Brown, Lynnwood")</f>
        <v>Brown, Lynnwood.;Brown, Lynnwood</v>
      </c>
      <c r="F1183" t="str">
        <f>("Prentice Hall,")</f>
        <v>Prentice Hall,</v>
      </c>
      <c r="H1183" t="str">
        <f t="shared" si="470"/>
        <v>圖書 book</v>
      </c>
      <c r="I1183" t="str">
        <f>("QA76.9.D3 B878 1997")</f>
        <v>QA76.9.D3 B878 1997</v>
      </c>
      <c r="J1183" t="str">
        <f>("0132446669")</f>
        <v>0132446669</v>
      </c>
      <c r="K1183" t="str">
        <f t="shared" si="477"/>
        <v>0</v>
      </c>
      <c r="L1183" t="str">
        <f>("2001/10/10 00:00:00")</f>
        <v>2001/10/10 00:00:00</v>
      </c>
      <c r="M1183" t="str">
        <f>("2018/08/11 13:31:47")</f>
        <v>2018/08/11 13:31:47</v>
      </c>
      <c r="N1183" t="str">
        <f>("1997")</f>
        <v>1997</v>
      </c>
      <c r="O1183" t="str">
        <f t="shared" si="481"/>
        <v>4F西文書庫 4F Western Language Books</v>
      </c>
      <c r="P1183" t="s">
        <v>64</v>
      </c>
      <c r="S1183" t="str">
        <f>("xxi, 189 p. :")</f>
        <v>xxi, 189 p. :</v>
      </c>
      <c r="T1183" t="str">
        <f>("ill. ;")</f>
        <v>ill. ;</v>
      </c>
      <c r="U1183" t="str">
        <f>("24 cm. +")</f>
        <v>24 cm. +</v>
      </c>
      <c r="V1183" t="str">
        <f>("1 computer optical laser disc (4 3/4 in.)")</f>
        <v>1 computer optical laser disc (4 3/4 in.)</v>
      </c>
      <c r="W1183" t="str">
        <f t="shared" si="474"/>
        <v>美國國會圖書分類法</v>
      </c>
      <c r="Y1183" t="str">
        <f>("QA76.9.D3")</f>
        <v>QA76.9.D3</v>
      </c>
      <c r="Z1183" t="str">
        <f>("2018/08/11 13:31:47")</f>
        <v>2018/08/11 13:31:47</v>
      </c>
      <c r="AA1183" t="str">
        <f t="shared" si="478"/>
        <v>catc</v>
      </c>
      <c r="AC1183" t="str">
        <f>("B878")</f>
        <v>B878</v>
      </c>
      <c r="AE1183" t="str">
        <f t="shared" si="482"/>
        <v>c.1</v>
      </c>
      <c r="AF1183" t="str">
        <f t="shared" si="483"/>
        <v>1.可借圖書</v>
      </c>
      <c r="AG1183" t="str">
        <f t="shared" si="484"/>
        <v>在架</v>
      </c>
      <c r="AI1183" t="s">
        <v>65</v>
      </c>
      <c r="AK1183" t="str">
        <f t="shared" si="479"/>
        <v>一般(Normal)</v>
      </c>
      <c r="AO1183" t="s">
        <v>65</v>
      </c>
      <c r="AS1183" t="str">
        <f>("c1997.")</f>
        <v>c1997.</v>
      </c>
      <c r="AT1183" t="str">
        <f t="shared" si="480"/>
        <v>catc</v>
      </c>
    </row>
    <row r="1184" spans="2:46" x14ac:dyDescent="0.25">
      <c r="B1184" t="str">
        <f>("287715")</f>
        <v>287715</v>
      </c>
      <c r="C1184" t="str">
        <f>("W00003254")</f>
        <v>W00003254</v>
      </c>
      <c r="D1184" t="str">
        <f>("Structured computer project management /")</f>
        <v>Structured computer project management /</v>
      </c>
      <c r="E1184" t="str">
        <f>("Roetzheim, William H.,1955-")</f>
        <v>Roetzheim, William H.,1955-</v>
      </c>
      <c r="F1184" t="str">
        <f>("Prentice Hall,")</f>
        <v>Prentice Hall,</v>
      </c>
      <c r="H1184" t="str">
        <f t="shared" si="470"/>
        <v>圖書 book</v>
      </c>
      <c r="I1184" t="str">
        <f>("QA76.9.S84 R719 1988")</f>
        <v>QA76.9.S84 R719 1988</v>
      </c>
      <c r="J1184" t="str">
        <f>("0138535329")</f>
        <v>0138535329</v>
      </c>
      <c r="K1184" t="str">
        <f t="shared" si="477"/>
        <v>0</v>
      </c>
      <c r="L1184" t="str">
        <f>("2001/10/10 00:00:00")</f>
        <v>2001/10/10 00:00:00</v>
      </c>
      <c r="M1184" t="str">
        <f>("2018/08/11 13:31:47")</f>
        <v>2018/08/11 13:31:47</v>
      </c>
      <c r="N1184" t="str">
        <f>("1988")</f>
        <v>1988</v>
      </c>
      <c r="O1184" t="str">
        <f t="shared" si="481"/>
        <v>4F西文書庫 4F Western Language Books</v>
      </c>
      <c r="P1184" t="s">
        <v>64</v>
      </c>
      <c r="W1184" t="str">
        <f t="shared" si="474"/>
        <v>美國國會圖書分類法</v>
      </c>
      <c r="Y1184" t="str">
        <f>("QA76.9.S84")</f>
        <v>QA76.9.S84</v>
      </c>
      <c r="Z1184" t="str">
        <f>("2018/08/11 13:31:47")</f>
        <v>2018/08/11 13:31:47</v>
      </c>
      <c r="AA1184" t="str">
        <f t="shared" si="478"/>
        <v>catc</v>
      </c>
      <c r="AC1184" t="str">
        <f>("R719")</f>
        <v>R719</v>
      </c>
      <c r="AE1184" t="str">
        <f t="shared" si="482"/>
        <v>c.1</v>
      </c>
      <c r="AF1184" t="str">
        <f t="shared" si="483"/>
        <v>1.可借圖書</v>
      </c>
      <c r="AG1184" t="str">
        <f t="shared" si="484"/>
        <v>在架</v>
      </c>
      <c r="AI1184" t="s">
        <v>65</v>
      </c>
      <c r="AK1184" t="str">
        <f t="shared" si="479"/>
        <v>一般(Normal)</v>
      </c>
      <c r="AO1184" t="s">
        <v>65</v>
      </c>
      <c r="AS1184" t="str">
        <f>("c1988.")</f>
        <v>c1988.</v>
      </c>
      <c r="AT1184" t="str">
        <f t="shared" si="480"/>
        <v>catc</v>
      </c>
    </row>
    <row r="1185" spans="2:46" x14ac:dyDescent="0.25">
      <c r="B1185" t="str">
        <f>("287716")</f>
        <v>287716</v>
      </c>
      <c r="C1185" t="str">
        <f>("W00003255")</f>
        <v>W00003255</v>
      </c>
      <c r="D1185" t="str">
        <f>("The guide to SQL Server /")</f>
        <v>The guide to SQL Server /</v>
      </c>
      <c r="E1185" t="str">
        <f>("Nath, Aloth.")</f>
        <v>Nath, Aloth.</v>
      </c>
      <c r="F1185" t="str">
        <f>("Addison-Wesley,")</f>
        <v>Addison-Wesley,</v>
      </c>
      <c r="G1185" t="str">
        <f>("2nd ed.")</f>
        <v>2nd ed.</v>
      </c>
      <c r="H1185" t="str">
        <f t="shared" si="470"/>
        <v>圖書 book</v>
      </c>
      <c r="I1185" t="str">
        <f>("QA76.9.D3 N274 1995")</f>
        <v>QA76.9.D3 N274 1995</v>
      </c>
      <c r="J1185" t="str">
        <f>("0201626314")</f>
        <v>0201626314</v>
      </c>
      <c r="K1185" t="str">
        <f t="shared" si="477"/>
        <v>0</v>
      </c>
      <c r="L1185" t="str">
        <f>("2001/10/10 00:00:00")</f>
        <v>2001/10/10 00:00:00</v>
      </c>
      <c r="M1185" t="str">
        <f>("2018/08/11 13:31:47")</f>
        <v>2018/08/11 13:31:47</v>
      </c>
      <c r="N1185" t="str">
        <f>("1995")</f>
        <v>1995</v>
      </c>
      <c r="O1185" t="str">
        <f t="shared" si="481"/>
        <v>4F西文書庫 4F Western Language Books</v>
      </c>
      <c r="P1185" t="s">
        <v>64</v>
      </c>
      <c r="S1185" t="str">
        <f>("xxi, 585 p. :")</f>
        <v>xxi, 585 p. :</v>
      </c>
      <c r="T1185" t="str">
        <f>("ill. ;")</f>
        <v>ill. ;</v>
      </c>
      <c r="U1185" t="str">
        <f>("24 cm.")</f>
        <v>24 cm.</v>
      </c>
      <c r="W1185" t="str">
        <f t="shared" si="474"/>
        <v>美國國會圖書分類法</v>
      </c>
      <c r="Y1185" t="str">
        <f>("QA76.9.D3")</f>
        <v>QA76.9.D3</v>
      </c>
      <c r="Z1185" t="str">
        <f>("2018/08/11 13:31:47")</f>
        <v>2018/08/11 13:31:47</v>
      </c>
      <c r="AA1185" t="str">
        <f t="shared" si="478"/>
        <v>catc</v>
      </c>
      <c r="AC1185" t="str">
        <f>("N274")</f>
        <v>N274</v>
      </c>
      <c r="AE1185" t="str">
        <f t="shared" si="482"/>
        <v>c.1</v>
      </c>
      <c r="AF1185" t="str">
        <f t="shared" si="483"/>
        <v>1.可借圖書</v>
      </c>
      <c r="AG1185" t="str">
        <f t="shared" si="484"/>
        <v>在架</v>
      </c>
      <c r="AI1185" t="s">
        <v>65</v>
      </c>
      <c r="AK1185" t="str">
        <f t="shared" si="479"/>
        <v>一般(Normal)</v>
      </c>
      <c r="AO1185" t="s">
        <v>65</v>
      </c>
      <c r="AS1185" t="str">
        <f>("c1995.")</f>
        <v>c1995.</v>
      </c>
      <c r="AT1185" t="str">
        <f t="shared" si="480"/>
        <v>catc</v>
      </c>
    </row>
    <row r="1186" spans="2:46" x14ac:dyDescent="0.25">
      <c r="B1186" t="str">
        <f>("290510")</f>
        <v>290510</v>
      </c>
      <c r="C1186" t="str">
        <f>("W00003256")</f>
        <v>W00003256</v>
      </c>
      <c r="D1186" t="str">
        <f>("Traveler's tales France /")</f>
        <v>Traveler's tales France /</v>
      </c>
      <c r="E1186" t="str">
        <f>("O'Reilly, James.;Habegger, Larry.;O'Reilly, Sean.")</f>
        <v>O'Reilly, James.;Habegger, Larry.;O'Reilly, Sean.</v>
      </c>
      <c r="F1186" t="str">
        <f>("Travelers Tales ;;Distributed by O'Reilly &amp; Associates, Inc.,")</f>
        <v>Travelers Tales ;;Distributed by O'Reilly &amp; Associates, Inc.,</v>
      </c>
      <c r="H1186" t="str">
        <f t="shared" si="470"/>
        <v>圖書 book</v>
      </c>
      <c r="I1186" t="str">
        <f>("DC16 T779 1995")</f>
        <v>DC16 T779 1995</v>
      </c>
      <c r="J1186" t="str">
        <f>("1885211023")</f>
        <v>1885211023</v>
      </c>
      <c r="K1186" t="str">
        <f t="shared" si="477"/>
        <v>0</v>
      </c>
      <c r="L1186" t="str">
        <f>("2001/10/16 00:00:00")</f>
        <v>2001/10/16 00:00:00</v>
      </c>
      <c r="M1186" t="str">
        <f>("2018/08/11 13:36:31")</f>
        <v>2018/08/11 13:36:31</v>
      </c>
      <c r="N1186" t="str">
        <f>("1995")</f>
        <v>1995</v>
      </c>
      <c r="O1186" t="str">
        <f t="shared" si="481"/>
        <v>4F西文書庫 4F Western Language Books</v>
      </c>
      <c r="P1186" t="s">
        <v>64</v>
      </c>
      <c r="W1186" t="str">
        <f t="shared" si="474"/>
        <v>美國國會圖書分類法</v>
      </c>
      <c r="Y1186" t="str">
        <f>("DC16")</f>
        <v>DC16</v>
      </c>
      <c r="Z1186" t="str">
        <f>("2018/08/11 13:36:31")</f>
        <v>2018/08/11 13:36:31</v>
      </c>
      <c r="AA1186" t="str">
        <f t="shared" si="478"/>
        <v>catc</v>
      </c>
      <c r="AC1186" t="str">
        <f>("T779")</f>
        <v>T779</v>
      </c>
      <c r="AE1186" t="str">
        <f t="shared" si="482"/>
        <v>c.1</v>
      </c>
      <c r="AF1186" t="str">
        <f t="shared" si="483"/>
        <v>1.可借圖書</v>
      </c>
      <c r="AG1186" t="str">
        <f t="shared" si="484"/>
        <v>在架</v>
      </c>
      <c r="AI1186" t="s">
        <v>65</v>
      </c>
      <c r="AK1186" t="str">
        <f t="shared" si="479"/>
        <v>一般(Normal)</v>
      </c>
      <c r="AO1186" t="s">
        <v>65</v>
      </c>
      <c r="AS1186" t="str">
        <f>("c1995.")</f>
        <v>c1995.</v>
      </c>
      <c r="AT1186" t="str">
        <f t="shared" si="480"/>
        <v>catc</v>
      </c>
    </row>
    <row r="1187" spans="2:46" x14ac:dyDescent="0.25">
      <c r="B1187" t="str">
        <f>("287726")</f>
        <v>287726</v>
      </c>
      <c r="C1187" t="str">
        <f>("W00003257")</f>
        <v>W00003257</v>
      </c>
      <c r="D1187" t="str">
        <f>("Using Netscape IFC /")</f>
        <v>Using Netscape IFC /</v>
      </c>
      <c r="E1187" t="str">
        <f>("Rao, Arun.")</f>
        <v>Rao, Arun.</v>
      </c>
      <c r="F1187" t="str">
        <f>("Que,")</f>
        <v>Que,</v>
      </c>
      <c r="H1187" t="str">
        <f t="shared" si="470"/>
        <v>圖書 book</v>
      </c>
      <c r="I1187" t="str">
        <f>("TK5105.883.N48 R215 1997")</f>
        <v>TK5105.883.N48 R215 1997</v>
      </c>
      <c r="J1187" t="str">
        <f>("0789712512")</f>
        <v>0789712512</v>
      </c>
      <c r="K1187" t="str">
        <f t="shared" si="477"/>
        <v>0</v>
      </c>
      <c r="L1187" t="str">
        <f t="shared" ref="L1187:L1204" si="485">("2001/10/10 00:00:00")</f>
        <v>2001/10/10 00:00:00</v>
      </c>
      <c r="M1187" t="str">
        <f>("2018/08/11 13:31:47")</f>
        <v>2018/08/11 13:31:47</v>
      </c>
      <c r="N1187" t="str">
        <f>("1997")</f>
        <v>1997</v>
      </c>
      <c r="O1187" t="str">
        <f t="shared" si="481"/>
        <v>4F西文書庫 4F Western Language Books</v>
      </c>
      <c r="P1187" t="s">
        <v>64</v>
      </c>
      <c r="W1187" t="str">
        <f t="shared" si="474"/>
        <v>美國國會圖書分類法</v>
      </c>
      <c r="Y1187" t="str">
        <f>("TK5105.883.N48")</f>
        <v>TK5105.883.N48</v>
      </c>
      <c r="Z1187" t="str">
        <f>("2018/08/11 13:31:47")</f>
        <v>2018/08/11 13:31:47</v>
      </c>
      <c r="AA1187" t="str">
        <f t="shared" si="478"/>
        <v>catc</v>
      </c>
      <c r="AC1187" t="str">
        <f>("R215")</f>
        <v>R215</v>
      </c>
      <c r="AE1187" t="str">
        <f t="shared" si="482"/>
        <v>c.1</v>
      </c>
      <c r="AF1187" t="str">
        <f t="shared" si="483"/>
        <v>1.可借圖書</v>
      </c>
      <c r="AG1187" t="str">
        <f t="shared" si="484"/>
        <v>在架</v>
      </c>
      <c r="AI1187" t="s">
        <v>65</v>
      </c>
      <c r="AK1187" t="str">
        <f t="shared" si="479"/>
        <v>一般(Normal)</v>
      </c>
      <c r="AO1187" t="s">
        <v>65</v>
      </c>
      <c r="AS1187" t="str">
        <f>("c1997.")</f>
        <v>c1997.</v>
      </c>
      <c r="AT1187" t="str">
        <f t="shared" si="480"/>
        <v>catc</v>
      </c>
    </row>
    <row r="1188" spans="2:46" x14ac:dyDescent="0.25">
      <c r="B1188" t="str">
        <f>("287727")</f>
        <v>287727</v>
      </c>
      <c r="C1188" t="str">
        <f>("W00003258")</f>
        <v>W00003258</v>
      </c>
      <c r="D1188" t="str">
        <f>("VRML :browsing &amp; building cyberspace /")</f>
        <v>VRML :browsing &amp; building cyberspace /</v>
      </c>
      <c r="E1188" t="str">
        <f>("Pesce, Mark.")</f>
        <v>Pesce, Mark.</v>
      </c>
      <c r="F1188" t="str">
        <f>("New Riders Pub.,")</f>
        <v>New Riders Pub.,</v>
      </c>
      <c r="H1188" t="str">
        <f t="shared" si="470"/>
        <v>圖書 book</v>
      </c>
      <c r="I1188" t="str">
        <f>("TK5105.888 P473 1995")</f>
        <v>TK5105.888 P473 1995</v>
      </c>
      <c r="J1188" t="str">
        <f>("1562054988")</f>
        <v>1562054988</v>
      </c>
      <c r="K1188" t="str">
        <f t="shared" si="477"/>
        <v>0</v>
      </c>
      <c r="L1188" t="str">
        <f t="shared" si="485"/>
        <v>2001/10/10 00:00:00</v>
      </c>
      <c r="M1188" t="str">
        <f>("2018/08/11 13:31:48")</f>
        <v>2018/08/11 13:31:48</v>
      </c>
      <c r="N1188" t="str">
        <f>("1995")</f>
        <v>1995</v>
      </c>
      <c r="O1188" t="str">
        <f t="shared" si="481"/>
        <v>4F西文書庫 4F Western Language Books</v>
      </c>
      <c r="P1188" t="s">
        <v>64</v>
      </c>
      <c r="W1188" t="str">
        <f t="shared" si="474"/>
        <v>美國國會圖書分類法</v>
      </c>
      <c r="Y1188" t="str">
        <f>("TK5105.888")</f>
        <v>TK5105.888</v>
      </c>
      <c r="Z1188" t="str">
        <f>("2018/08/11 13:31:47")</f>
        <v>2018/08/11 13:31:47</v>
      </c>
      <c r="AA1188" t="str">
        <f t="shared" si="478"/>
        <v>catc</v>
      </c>
      <c r="AC1188" t="str">
        <f>("P473")</f>
        <v>P473</v>
      </c>
      <c r="AE1188" t="str">
        <f t="shared" si="482"/>
        <v>c.1</v>
      </c>
      <c r="AF1188" t="str">
        <f t="shared" si="483"/>
        <v>1.可借圖書</v>
      </c>
      <c r="AG1188" t="str">
        <f t="shared" si="484"/>
        <v>在架</v>
      </c>
      <c r="AI1188" t="s">
        <v>65</v>
      </c>
      <c r="AK1188" t="str">
        <f t="shared" si="479"/>
        <v>一般(Normal)</v>
      </c>
      <c r="AO1188" t="s">
        <v>65</v>
      </c>
      <c r="AS1188" t="str">
        <f>("c1995.")</f>
        <v>c1995.</v>
      </c>
      <c r="AT1188" t="str">
        <f t="shared" si="480"/>
        <v>catc</v>
      </c>
    </row>
    <row r="1189" spans="2:46" x14ac:dyDescent="0.25">
      <c r="B1189" t="str">
        <f>("287728")</f>
        <v>287728</v>
      </c>
      <c r="C1189" t="str">
        <f>("W00003259")</f>
        <v>W00003259</v>
      </c>
      <c r="D1189" t="str">
        <f>("Novell's guide to Web site management /")</f>
        <v>Novell's guide to Web site management /</v>
      </c>
      <c r="E1189" t="str">
        <f>("Bowman, Jim,Master CNE")</f>
        <v>Bowman, Jim,Master CNE</v>
      </c>
      <c r="F1189" t="str">
        <f>("Novell Press :;Distributed in the U.S. by IDG Books Worldwide,")</f>
        <v>Novell Press :;Distributed in the U.S. by IDG Books Worldwide,</v>
      </c>
      <c r="H1189" t="str">
        <f t="shared" si="470"/>
        <v>圖書 book</v>
      </c>
      <c r="I1189" t="str">
        <f>("TK5105.888 B787 1998")</f>
        <v>TK5105.888 B787 1998</v>
      </c>
      <c r="J1189" t="str">
        <f>("0764545299")</f>
        <v>0764545299</v>
      </c>
      <c r="K1189" t="str">
        <f t="shared" si="477"/>
        <v>0</v>
      </c>
      <c r="L1189" t="str">
        <f t="shared" si="485"/>
        <v>2001/10/10 00:00:00</v>
      </c>
      <c r="M1189" t="str">
        <f>("2018/08/11 13:31:48")</f>
        <v>2018/08/11 13:31:48</v>
      </c>
      <c r="N1189" t="str">
        <f>("1998")</f>
        <v>1998</v>
      </c>
      <c r="O1189" t="str">
        <f t="shared" si="481"/>
        <v>4F西文書庫 4F Western Language Books</v>
      </c>
      <c r="P1189" t="s">
        <v>64</v>
      </c>
      <c r="W1189" t="str">
        <f t="shared" si="474"/>
        <v>美國國會圖書分類法</v>
      </c>
      <c r="Y1189" t="str">
        <f>("TK5105.888")</f>
        <v>TK5105.888</v>
      </c>
      <c r="Z1189" t="str">
        <f>("2018/08/11 13:31:48")</f>
        <v>2018/08/11 13:31:48</v>
      </c>
      <c r="AA1189" t="str">
        <f t="shared" si="478"/>
        <v>catc</v>
      </c>
      <c r="AC1189" t="str">
        <f>("B787")</f>
        <v>B787</v>
      </c>
      <c r="AE1189" t="str">
        <f t="shared" si="482"/>
        <v>c.1</v>
      </c>
      <c r="AF1189" t="str">
        <f t="shared" si="483"/>
        <v>1.可借圖書</v>
      </c>
      <c r="AG1189" t="str">
        <f t="shared" si="484"/>
        <v>在架</v>
      </c>
      <c r="AI1189" t="s">
        <v>65</v>
      </c>
      <c r="AK1189" t="str">
        <f t="shared" si="479"/>
        <v>一般(Normal)</v>
      </c>
      <c r="AO1189" t="s">
        <v>65</v>
      </c>
      <c r="AS1189" t="str">
        <f>("c1998.")</f>
        <v>c1998.</v>
      </c>
      <c r="AT1189" t="str">
        <f t="shared" si="480"/>
        <v>catc</v>
      </c>
    </row>
    <row r="1190" spans="2:46" x14ac:dyDescent="0.25">
      <c r="B1190" t="str">
        <f>("287729")</f>
        <v>287729</v>
      </c>
      <c r="C1190" t="str">
        <f>("W00003260")</f>
        <v>W00003260</v>
      </c>
      <c r="D1190" t="str">
        <f>("Windows NT 4 Web development /")</f>
        <v>Windows NT 4 Web development /</v>
      </c>
      <c r="E1190" t="str">
        <f>("Hettihewa, Sanjaya.")</f>
        <v>Hettihewa, Sanjaya.</v>
      </c>
      <c r="F1190" t="str">
        <f>("Sams.net,")</f>
        <v>Sams.net,</v>
      </c>
      <c r="G1190" t="str">
        <f>("1st ed.")</f>
        <v>1st ed.</v>
      </c>
      <c r="H1190" t="str">
        <f t="shared" si="470"/>
        <v>圖書 book</v>
      </c>
      <c r="I1190" t="str">
        <f>("TK5105.888 H591 1996")</f>
        <v>TK5105.888 H591 1996</v>
      </c>
      <c r="J1190" t="str">
        <f>("1575210894")</f>
        <v>1575210894</v>
      </c>
      <c r="K1190" t="str">
        <f t="shared" si="477"/>
        <v>0</v>
      </c>
      <c r="L1190" t="str">
        <f t="shared" si="485"/>
        <v>2001/10/10 00:00:00</v>
      </c>
      <c r="M1190" t="str">
        <f>("2018/08/11 13:31:48")</f>
        <v>2018/08/11 13:31:48</v>
      </c>
      <c r="N1190" t="str">
        <f>("1996")</f>
        <v>1996</v>
      </c>
      <c r="O1190" t="str">
        <f t="shared" si="481"/>
        <v>4F西文書庫 4F Western Language Books</v>
      </c>
      <c r="P1190" t="s">
        <v>64</v>
      </c>
      <c r="W1190" t="str">
        <f t="shared" si="474"/>
        <v>美國國會圖書分類法</v>
      </c>
      <c r="Y1190" t="str">
        <f>("TK5105.888")</f>
        <v>TK5105.888</v>
      </c>
      <c r="Z1190" t="str">
        <f>("2018/08/11 13:31:48")</f>
        <v>2018/08/11 13:31:48</v>
      </c>
      <c r="AA1190" t="str">
        <f t="shared" si="478"/>
        <v>catc</v>
      </c>
      <c r="AC1190" t="str">
        <f>("H591")</f>
        <v>H591</v>
      </c>
      <c r="AE1190" t="str">
        <f t="shared" si="482"/>
        <v>c.1</v>
      </c>
      <c r="AF1190" t="str">
        <f t="shared" si="483"/>
        <v>1.可借圖書</v>
      </c>
      <c r="AG1190" t="str">
        <f t="shared" si="484"/>
        <v>在架</v>
      </c>
      <c r="AI1190" t="s">
        <v>65</v>
      </c>
      <c r="AK1190" t="str">
        <f t="shared" si="479"/>
        <v>一般(Normal)</v>
      </c>
      <c r="AO1190" t="s">
        <v>65</v>
      </c>
      <c r="AS1190" t="str">
        <f>("1996.")</f>
        <v>1996.</v>
      </c>
      <c r="AT1190" t="str">
        <f t="shared" si="480"/>
        <v>catc</v>
      </c>
    </row>
    <row r="1191" spans="2:46" x14ac:dyDescent="0.25">
      <c r="B1191" t="str">
        <f>("287730")</f>
        <v>287730</v>
      </c>
      <c r="C1191" t="str">
        <f>("W00003261")</f>
        <v>W00003261</v>
      </c>
      <c r="D1191" t="str">
        <f>("!%@:: a directory of electronic mail addressing &amp; networks /")</f>
        <v>!%@:: a directory of electronic mail addressing &amp; networks /</v>
      </c>
      <c r="E1191" t="str">
        <f>("Frey, Donnalyn.  ")</f>
        <v xml:space="preserve">Frey, Donnalyn.  </v>
      </c>
      <c r="F1191" t="str">
        <f>("O'Reilly &amp; Associates,")</f>
        <v>O'Reilly &amp; Associates,</v>
      </c>
      <c r="G1191" t="str">
        <f>("4th ed.")</f>
        <v>4th ed.</v>
      </c>
      <c r="H1191" t="str">
        <f>("參考書 Reference")</f>
        <v>參考書 Reference</v>
      </c>
      <c r="I1191" t="str">
        <f>("R HE6239.E54 F893 1994")</f>
        <v>R HE6239.E54 F893 1994</v>
      </c>
      <c r="J1191" t="str">
        <f>("1565920465")</f>
        <v>1565920465</v>
      </c>
      <c r="K1191" t="str">
        <f t="shared" si="477"/>
        <v>0</v>
      </c>
      <c r="L1191" t="str">
        <f t="shared" si="485"/>
        <v>2001/10/10 00:00:00</v>
      </c>
      <c r="M1191" t="str">
        <f>("2018/08/11 13:31:48")</f>
        <v>2018/08/11 13:31:48</v>
      </c>
      <c r="N1191" t="str">
        <f>("1994")</f>
        <v>1994</v>
      </c>
      <c r="O1191" t="str">
        <f>("2F西文參考書庫 2F Western Reference Resources")</f>
        <v>2F西文參考書庫 2F Western Reference Resources</v>
      </c>
      <c r="P1191" t="s">
        <v>64</v>
      </c>
      <c r="W1191" t="str">
        <f t="shared" si="474"/>
        <v>美國國會圖書分類法</v>
      </c>
      <c r="Y1191" t="str">
        <f>("HE6239.E54")</f>
        <v>HE6239.E54</v>
      </c>
      <c r="Z1191" t="str">
        <f>("2018/08/11 13:31:48")</f>
        <v>2018/08/11 13:31:48</v>
      </c>
      <c r="AA1191" t="str">
        <f t="shared" si="478"/>
        <v>catc</v>
      </c>
      <c r="AC1191" t="str">
        <f>("F893")</f>
        <v>F893</v>
      </c>
      <c r="AE1191" t="str">
        <f t="shared" si="482"/>
        <v>c.1</v>
      </c>
      <c r="AF1191" t="str">
        <f>("參考工具書")</f>
        <v>參考工具書</v>
      </c>
      <c r="AG1191" t="str">
        <f>("報銷中")</f>
        <v>報銷中</v>
      </c>
      <c r="AI1191" t="s">
        <v>66</v>
      </c>
      <c r="AK1191" t="str">
        <f t="shared" si="479"/>
        <v>一般(Normal)</v>
      </c>
      <c r="AO1191" t="s">
        <v>65</v>
      </c>
      <c r="AS1191" t="str">
        <f>("c1994.")</f>
        <v>c1994.</v>
      </c>
      <c r="AT1191" t="str">
        <f t="shared" si="480"/>
        <v>catc</v>
      </c>
    </row>
    <row r="1192" spans="2:46" x14ac:dyDescent="0.25">
      <c r="B1192" t="str">
        <f>("287744")</f>
        <v>287744</v>
      </c>
      <c r="C1192" t="str">
        <f>("W00003262")</f>
        <v>W00003262</v>
      </c>
      <c r="D1192" t="str">
        <f>("A guide to the SQL standard :a user's guide to the standard database language SQL /")</f>
        <v>A guide to the SQL standard :a user's guide to the standard database language SQL /</v>
      </c>
      <c r="E1192" t="str">
        <f>("Date, C. J.   ")</f>
        <v xml:space="preserve">Date, C. J.   </v>
      </c>
      <c r="F1192" t="str">
        <f>("Addison-Wesley,")</f>
        <v>Addison-Wesley,</v>
      </c>
      <c r="G1192" t="str">
        <f>("4th ed.")</f>
        <v>4th ed.</v>
      </c>
      <c r="H1192" t="str">
        <f t="shared" ref="H1192:H1204" si="486">("圖書 book")</f>
        <v>圖書 book</v>
      </c>
      <c r="I1192" t="str">
        <f>("QA76.73.S67 D479 1997")</f>
        <v>QA76.73.S67 D479 1997</v>
      </c>
      <c r="J1192" t="str">
        <f>("0201964260")</f>
        <v>0201964260</v>
      </c>
      <c r="K1192" t="str">
        <f t="shared" si="477"/>
        <v>0</v>
      </c>
      <c r="L1192" t="str">
        <f t="shared" si="485"/>
        <v>2001/10/10 00:00:00</v>
      </c>
      <c r="M1192" t="str">
        <f>("2018/08/11 13:31:49")</f>
        <v>2018/08/11 13:31:49</v>
      </c>
      <c r="N1192" t="str">
        <f>("1997")</f>
        <v>1997</v>
      </c>
      <c r="O1192" t="str">
        <f>("4F西文書庫 4F Western Language Books")</f>
        <v>4F西文書庫 4F Western Language Books</v>
      </c>
      <c r="P1192" t="s">
        <v>64</v>
      </c>
      <c r="W1192" t="str">
        <f t="shared" si="474"/>
        <v>美國國會圖書分類法</v>
      </c>
      <c r="Y1192" t="str">
        <f>("QA76.73.S67")</f>
        <v>QA76.73.S67</v>
      </c>
      <c r="Z1192" t="str">
        <f>("2018/08/11 13:31:49")</f>
        <v>2018/08/11 13:31:49</v>
      </c>
      <c r="AA1192" t="str">
        <f t="shared" si="478"/>
        <v>catc</v>
      </c>
      <c r="AC1192" t="str">
        <f>("D479")</f>
        <v>D479</v>
      </c>
      <c r="AE1192" t="str">
        <f t="shared" si="482"/>
        <v>c.1</v>
      </c>
      <c r="AF1192" t="str">
        <f>("1.可借圖書")</f>
        <v>1.可借圖書</v>
      </c>
      <c r="AG1192" t="str">
        <f>("在架")</f>
        <v>在架</v>
      </c>
      <c r="AI1192" t="s">
        <v>65</v>
      </c>
      <c r="AK1192" t="str">
        <f t="shared" si="479"/>
        <v>一般(Normal)</v>
      </c>
      <c r="AO1192" t="s">
        <v>65</v>
      </c>
      <c r="AS1192" t="str">
        <f>("c1997.")</f>
        <v>c1997.</v>
      </c>
      <c r="AT1192" t="str">
        <f t="shared" si="480"/>
        <v>catc</v>
      </c>
    </row>
    <row r="1193" spans="2:46" x14ac:dyDescent="0.25">
      <c r="B1193" t="str">
        <f>("289934")</f>
        <v>289934</v>
      </c>
      <c r="C1193" t="str">
        <f>("W00003263")</f>
        <v>W00003263</v>
      </c>
      <c r="D1193" t="str">
        <f>("An introduction to object-oriented design in C++ /")</f>
        <v>An introduction to object-oriented design in C++ /</v>
      </c>
      <c r="E1193" t="str">
        <f>("Perry, Jo Ellen.")</f>
        <v>Perry, Jo Ellen.</v>
      </c>
      <c r="F1193" t="str">
        <f>("Addison-Wesley Pub. Co.,")</f>
        <v>Addison-Wesley Pub. Co.,</v>
      </c>
      <c r="H1193" t="str">
        <f t="shared" si="486"/>
        <v>圖書 book</v>
      </c>
      <c r="I1193" t="str">
        <f>("QA76.64 P463 1996 c.3")</f>
        <v>QA76.64 P463 1996 c.3</v>
      </c>
      <c r="J1193" t="str">
        <f>("0201765640")</f>
        <v>0201765640</v>
      </c>
      <c r="K1193" t="str">
        <f t="shared" si="477"/>
        <v>0</v>
      </c>
      <c r="L1193" t="str">
        <f t="shared" si="485"/>
        <v>2001/10/10 00:00:00</v>
      </c>
      <c r="M1193" t="str">
        <f>("2018/08/11 13:35:24")</f>
        <v>2018/08/11 13:35:24</v>
      </c>
      <c r="N1193" t="str">
        <f>("1996")</f>
        <v>1996</v>
      </c>
      <c r="O1193" t="str">
        <f>("罕用書庫1-洽櫃台填單 Upon-Request Collection1 fil")</f>
        <v>罕用書庫1-洽櫃台填單 Upon-Request Collection1 fil</v>
      </c>
      <c r="P1193" t="s">
        <v>64</v>
      </c>
      <c r="S1193" t="str">
        <f>("xiv, 866 p. :")</f>
        <v>xiv, 866 p. :</v>
      </c>
      <c r="T1193" t="str">
        <f>("ill. ;")</f>
        <v>ill. ;</v>
      </c>
      <c r="U1193" t="str">
        <f>("24 cm.")</f>
        <v>24 cm.</v>
      </c>
      <c r="W1193" t="str">
        <f t="shared" si="474"/>
        <v>美國國會圖書分類法</v>
      </c>
      <c r="Y1193" t="str">
        <f>("QA76.64")</f>
        <v>QA76.64</v>
      </c>
      <c r="Z1193" t="str">
        <f>("2018/08/11 13:35:24")</f>
        <v>2018/08/11 13:35:24</v>
      </c>
      <c r="AA1193" t="str">
        <f t="shared" si="478"/>
        <v>catc</v>
      </c>
      <c r="AC1193" t="str">
        <f>("P463")</f>
        <v>P463</v>
      </c>
      <c r="AE1193" t="str">
        <f>("c.3")</f>
        <v>c.3</v>
      </c>
      <c r="AF1193" t="str">
        <f>("不流通")</f>
        <v>不流通</v>
      </c>
      <c r="AG1193" t="str">
        <f>("報銷中")</f>
        <v>報銷中</v>
      </c>
      <c r="AI1193" t="s">
        <v>65</v>
      </c>
      <c r="AK1193" t="str">
        <f t="shared" si="479"/>
        <v>一般(Normal)</v>
      </c>
      <c r="AO1193" t="s">
        <v>65</v>
      </c>
      <c r="AS1193" t="str">
        <f>("c1996.")</f>
        <v>c1996.</v>
      </c>
      <c r="AT1193" t="str">
        <f t="shared" si="480"/>
        <v>catc</v>
      </c>
    </row>
    <row r="1194" spans="2:46" x14ac:dyDescent="0.25">
      <c r="B1194" t="str">
        <f>("287731")</f>
        <v>287731</v>
      </c>
      <c r="C1194" t="str">
        <f>("W00003264")</f>
        <v>W00003264</v>
      </c>
      <c r="D1194" t="str">
        <f>("ATM &amp; MPEG-2 :integrating digital video into broadband networks /")</f>
        <v>ATM &amp; MPEG-2 :integrating digital video into broadband networks /</v>
      </c>
      <c r="E1194" t="str">
        <f>("Orzessek, Michael.")</f>
        <v>Orzessek, Michael.</v>
      </c>
      <c r="F1194" t="str">
        <f>("Prentice Hall PTR,")</f>
        <v>Prentice Hall PTR,</v>
      </c>
      <c r="H1194" t="str">
        <f t="shared" si="486"/>
        <v>圖書 book</v>
      </c>
      <c r="I1194" t="str">
        <f>("TK6678 O79 1998")</f>
        <v>TK6678 O79 1998</v>
      </c>
      <c r="J1194" t="str">
        <f>("0132437007")</f>
        <v>0132437007</v>
      </c>
      <c r="K1194" t="str">
        <f t="shared" si="477"/>
        <v>0</v>
      </c>
      <c r="L1194" t="str">
        <f t="shared" si="485"/>
        <v>2001/10/10 00:00:00</v>
      </c>
      <c r="M1194" t="str">
        <f t="shared" ref="M1194:M1199" si="487">("2018/08/11 13:31:48")</f>
        <v>2018/08/11 13:31:48</v>
      </c>
      <c r="N1194" t="str">
        <f>("1998")</f>
        <v>1998</v>
      </c>
      <c r="O1194" t="str">
        <f t="shared" ref="O1194:O1204" si="488">("4F西文書庫 4F Western Language Books")</f>
        <v>4F西文書庫 4F Western Language Books</v>
      </c>
      <c r="P1194" t="s">
        <v>64</v>
      </c>
      <c r="S1194" t="str">
        <f>("xxvi, 326 p. :")</f>
        <v>xxvi, 326 p. :</v>
      </c>
      <c r="T1194" t="str">
        <f>("ill. ;")</f>
        <v>ill. ;</v>
      </c>
      <c r="U1194" t="str">
        <f>("24 cm.")</f>
        <v>24 cm.</v>
      </c>
      <c r="W1194" t="str">
        <f t="shared" si="474"/>
        <v>美國國會圖書分類法</v>
      </c>
      <c r="Y1194" t="str">
        <f>("TK6678")</f>
        <v>TK6678</v>
      </c>
      <c r="Z1194" t="str">
        <f t="shared" ref="Z1194:Z1199" si="489">("2018/08/11 13:31:48")</f>
        <v>2018/08/11 13:31:48</v>
      </c>
      <c r="AA1194" t="str">
        <f t="shared" si="478"/>
        <v>catc</v>
      </c>
      <c r="AC1194" t="str">
        <f>("O79")</f>
        <v>O79</v>
      </c>
      <c r="AE1194" t="str">
        <f t="shared" ref="AE1194:AE1204" si="490">("c.1")</f>
        <v>c.1</v>
      </c>
      <c r="AF1194" t="str">
        <f t="shared" ref="AF1194:AF1204" si="491">("1.可借圖書")</f>
        <v>1.可借圖書</v>
      </c>
      <c r="AG1194" t="str">
        <f t="shared" ref="AG1194:AG1204" si="492">("在架")</f>
        <v>在架</v>
      </c>
      <c r="AI1194" t="s">
        <v>65</v>
      </c>
      <c r="AK1194" t="str">
        <f t="shared" si="479"/>
        <v>一般(Normal)</v>
      </c>
      <c r="AO1194" t="s">
        <v>65</v>
      </c>
      <c r="AS1194" t="str">
        <f>("c1998.")</f>
        <v>c1998.</v>
      </c>
      <c r="AT1194" t="str">
        <f t="shared" si="480"/>
        <v>catc</v>
      </c>
    </row>
    <row r="1195" spans="2:46" x14ac:dyDescent="0.25">
      <c r="B1195" t="str">
        <f>("287732")</f>
        <v>287732</v>
      </c>
      <c r="C1195" t="str">
        <f>("W00003265")</f>
        <v>W00003265</v>
      </c>
      <c r="D1195" t="str">
        <f>("Distributed relational database :cross-platform connectivity and applications /")</f>
        <v>Distributed relational database :cross-platform connectivity and applications /</v>
      </c>
      <c r="E1195" t="str">
        <f>("Podcameni, Silvio.")</f>
        <v>Podcameni, Silvio.</v>
      </c>
      <c r="F1195" t="str">
        <f>("Prentice Hall PTR,;IBM, International Technical Support Organization ;")</f>
        <v>Prentice Hall PTR,;IBM, International Technical Support Organization ;</v>
      </c>
      <c r="G1195" t="str">
        <f>("3rd ed.")</f>
        <v>3rd ed.</v>
      </c>
      <c r="H1195" t="str">
        <f t="shared" si="486"/>
        <v>圖書 book</v>
      </c>
      <c r="I1195" t="str">
        <f>("QA76.9.D3 P742 1996")</f>
        <v>QA76.9.D3 P742 1996</v>
      </c>
      <c r="J1195" t="str">
        <f>("0135707978")</f>
        <v>0135707978</v>
      </c>
      <c r="K1195" t="str">
        <f t="shared" si="477"/>
        <v>0</v>
      </c>
      <c r="L1195" t="str">
        <f t="shared" si="485"/>
        <v>2001/10/10 00:00:00</v>
      </c>
      <c r="M1195" t="str">
        <f t="shared" si="487"/>
        <v>2018/08/11 13:31:48</v>
      </c>
      <c r="N1195" t="str">
        <f>("1996")</f>
        <v>1996</v>
      </c>
      <c r="O1195" t="str">
        <f t="shared" si="488"/>
        <v>4F西文書庫 4F Western Language Books</v>
      </c>
      <c r="P1195" t="s">
        <v>64</v>
      </c>
      <c r="W1195" t="str">
        <f t="shared" si="474"/>
        <v>美國國會圖書分類法</v>
      </c>
      <c r="Y1195" t="str">
        <f>("QA76.9.D3")</f>
        <v>QA76.9.D3</v>
      </c>
      <c r="Z1195" t="str">
        <f t="shared" si="489"/>
        <v>2018/08/11 13:31:48</v>
      </c>
      <c r="AA1195" t="str">
        <f t="shared" si="478"/>
        <v>catc</v>
      </c>
      <c r="AC1195" t="str">
        <f>("P742")</f>
        <v>P742</v>
      </c>
      <c r="AE1195" t="str">
        <f t="shared" si="490"/>
        <v>c.1</v>
      </c>
      <c r="AF1195" t="str">
        <f t="shared" si="491"/>
        <v>1.可借圖書</v>
      </c>
      <c r="AG1195" t="str">
        <f t="shared" si="492"/>
        <v>在架</v>
      </c>
      <c r="AI1195" t="s">
        <v>65</v>
      </c>
      <c r="AK1195" t="str">
        <f t="shared" si="479"/>
        <v>一般(Normal)</v>
      </c>
      <c r="AO1195" t="s">
        <v>65</v>
      </c>
      <c r="AS1195" t="str">
        <f>("c1996.")</f>
        <v>c1996.</v>
      </c>
      <c r="AT1195" t="str">
        <f t="shared" si="480"/>
        <v>catc</v>
      </c>
    </row>
    <row r="1196" spans="2:46" x14ac:dyDescent="0.25">
      <c r="B1196" t="str">
        <f>("287733")</f>
        <v>287733</v>
      </c>
      <c r="C1196" t="str">
        <f>("W00003266")</f>
        <v>W00003266</v>
      </c>
      <c r="D1196" t="str">
        <f>("Management information systems :organization and technology /")</f>
        <v>Management information systems :organization and technology /</v>
      </c>
      <c r="E1196" t="str">
        <f>("Laudon, Kenneth C.,1944-;Laudon, Kenneth C.")</f>
        <v>Laudon, Kenneth C.,1944-;Laudon, Kenneth C.</v>
      </c>
      <c r="F1196" t="str">
        <f>("Macmillan,")</f>
        <v>Macmillan,</v>
      </c>
      <c r="G1196" t="str">
        <f>("3rd ed.")</f>
        <v>3rd ed.</v>
      </c>
      <c r="H1196" t="str">
        <f t="shared" si="486"/>
        <v>圖書 book</v>
      </c>
      <c r="I1196" t="str">
        <f>("T58.6 L372 1994")</f>
        <v>T58.6 L372 1994</v>
      </c>
      <c r="J1196" t="str">
        <f>("0023681217")</f>
        <v>0023681217</v>
      </c>
      <c r="K1196" t="str">
        <f t="shared" si="477"/>
        <v>0</v>
      </c>
      <c r="L1196" t="str">
        <f t="shared" si="485"/>
        <v>2001/10/10 00:00:00</v>
      </c>
      <c r="M1196" t="str">
        <f t="shared" si="487"/>
        <v>2018/08/11 13:31:48</v>
      </c>
      <c r="N1196" t="str">
        <f>("1994")</f>
        <v>1994</v>
      </c>
      <c r="O1196" t="str">
        <f t="shared" si="488"/>
        <v>4F西文書庫 4F Western Language Books</v>
      </c>
      <c r="P1196" t="s">
        <v>64</v>
      </c>
      <c r="W1196" t="str">
        <f t="shared" si="474"/>
        <v>美國國會圖書分類法</v>
      </c>
      <c r="Y1196" t="str">
        <f>("T58.6")</f>
        <v>T58.6</v>
      </c>
      <c r="Z1196" t="str">
        <f t="shared" si="489"/>
        <v>2018/08/11 13:31:48</v>
      </c>
      <c r="AA1196" t="str">
        <f t="shared" si="478"/>
        <v>catc</v>
      </c>
      <c r="AC1196" t="str">
        <f>("L372")</f>
        <v>L372</v>
      </c>
      <c r="AE1196" t="str">
        <f t="shared" si="490"/>
        <v>c.1</v>
      </c>
      <c r="AF1196" t="str">
        <f t="shared" si="491"/>
        <v>1.可借圖書</v>
      </c>
      <c r="AG1196" t="str">
        <f t="shared" si="492"/>
        <v>在架</v>
      </c>
      <c r="AI1196" t="s">
        <v>65</v>
      </c>
      <c r="AK1196" t="str">
        <f t="shared" si="479"/>
        <v>一般(Normal)</v>
      </c>
      <c r="AO1196" t="s">
        <v>65</v>
      </c>
      <c r="AS1196" t="str">
        <f>("c1994.")</f>
        <v>c1994.</v>
      </c>
      <c r="AT1196" t="str">
        <f t="shared" si="480"/>
        <v>catc</v>
      </c>
    </row>
    <row r="1197" spans="2:46" x14ac:dyDescent="0.25">
      <c r="B1197" t="str">
        <f>("287734")</f>
        <v>287734</v>
      </c>
      <c r="C1197" t="str">
        <f>("W00003267")</f>
        <v>W00003267</v>
      </c>
      <c r="D1197" t="str">
        <f>("MCSE--NT Server 4 in the enterprise study guide /")</f>
        <v>MCSE--NT Server 4 in the enterprise study guide /</v>
      </c>
      <c r="E1197" t="str">
        <f>("Donald, Lisa.")</f>
        <v>Donald, Lisa.</v>
      </c>
      <c r="F1197" t="str">
        <f>("Network Press,")</f>
        <v>Network Press,</v>
      </c>
      <c r="H1197" t="str">
        <f t="shared" si="486"/>
        <v>圖書 book</v>
      </c>
      <c r="I1197" t="str">
        <f>("QA76.76.O63 D675 1997")</f>
        <v>QA76.76.O63 D675 1997</v>
      </c>
      <c r="J1197" t="str">
        <f>("0782119700")</f>
        <v>0782119700</v>
      </c>
      <c r="K1197" t="str">
        <f t="shared" si="477"/>
        <v>0</v>
      </c>
      <c r="L1197" t="str">
        <f t="shared" si="485"/>
        <v>2001/10/10 00:00:00</v>
      </c>
      <c r="M1197" t="str">
        <f t="shared" si="487"/>
        <v>2018/08/11 13:31:48</v>
      </c>
      <c r="N1197" t="str">
        <f>("1997")</f>
        <v>1997</v>
      </c>
      <c r="O1197" t="str">
        <f t="shared" si="488"/>
        <v>4F西文書庫 4F Western Language Books</v>
      </c>
      <c r="P1197" t="s">
        <v>64</v>
      </c>
      <c r="W1197" t="str">
        <f t="shared" si="474"/>
        <v>美國國會圖書分類法</v>
      </c>
      <c r="Y1197" t="str">
        <f>("QA76.76.O63")</f>
        <v>QA76.76.O63</v>
      </c>
      <c r="Z1197" t="str">
        <f t="shared" si="489"/>
        <v>2018/08/11 13:31:48</v>
      </c>
      <c r="AA1197" t="str">
        <f t="shared" si="478"/>
        <v>catc</v>
      </c>
      <c r="AC1197" t="str">
        <f>("D675")</f>
        <v>D675</v>
      </c>
      <c r="AE1197" t="str">
        <f t="shared" si="490"/>
        <v>c.1</v>
      </c>
      <c r="AF1197" t="str">
        <f t="shared" si="491"/>
        <v>1.可借圖書</v>
      </c>
      <c r="AG1197" t="str">
        <f t="shared" si="492"/>
        <v>在架</v>
      </c>
      <c r="AI1197" t="s">
        <v>65</v>
      </c>
      <c r="AK1197" t="str">
        <f t="shared" si="479"/>
        <v>一般(Normal)</v>
      </c>
      <c r="AO1197" t="s">
        <v>65</v>
      </c>
      <c r="AS1197" t="str">
        <f>("c1997.")</f>
        <v>c1997.</v>
      </c>
      <c r="AT1197" t="str">
        <f t="shared" si="480"/>
        <v>catc</v>
      </c>
    </row>
    <row r="1198" spans="2:46" x14ac:dyDescent="0.25">
      <c r="B1198" t="str">
        <f>("287736")</f>
        <v>287736</v>
      </c>
      <c r="C1198" t="str">
        <f>("W00003268")</f>
        <v>W00003268</v>
      </c>
      <c r="D1198" t="str">
        <f>("Neural network principles /")</f>
        <v>Neural network principles /</v>
      </c>
      <c r="E1198" t="str">
        <f>("Harvey, Robert L.")</f>
        <v>Harvey, Robert L.</v>
      </c>
      <c r="F1198" t="str">
        <f>("Prentice-Hall International,")</f>
        <v>Prentice-Hall International,</v>
      </c>
      <c r="H1198" t="str">
        <f t="shared" si="486"/>
        <v>圖書 book</v>
      </c>
      <c r="I1198" t="str">
        <f>("QP363.3 H342 1994")</f>
        <v>QP363.3 H342 1994</v>
      </c>
      <c r="J1198" t="str">
        <f>("0131121944")</f>
        <v>0131121944</v>
      </c>
      <c r="K1198" t="str">
        <f t="shared" si="477"/>
        <v>0</v>
      </c>
      <c r="L1198" t="str">
        <f t="shared" si="485"/>
        <v>2001/10/10 00:00:00</v>
      </c>
      <c r="M1198" t="str">
        <f t="shared" si="487"/>
        <v>2018/08/11 13:31:48</v>
      </c>
      <c r="N1198" t="str">
        <f>("1994")</f>
        <v>1994</v>
      </c>
      <c r="O1198" t="str">
        <f t="shared" si="488"/>
        <v>4F西文書庫 4F Western Language Books</v>
      </c>
      <c r="P1198" t="s">
        <v>64</v>
      </c>
      <c r="W1198" t="str">
        <f t="shared" si="474"/>
        <v>美國國會圖書分類法</v>
      </c>
      <c r="Y1198" t="str">
        <f>("QP363.3")</f>
        <v>QP363.3</v>
      </c>
      <c r="Z1198" t="str">
        <f t="shared" si="489"/>
        <v>2018/08/11 13:31:48</v>
      </c>
      <c r="AA1198" t="str">
        <f t="shared" si="478"/>
        <v>catc</v>
      </c>
      <c r="AC1198" t="str">
        <f>("H342")</f>
        <v>H342</v>
      </c>
      <c r="AE1198" t="str">
        <f t="shared" si="490"/>
        <v>c.1</v>
      </c>
      <c r="AF1198" t="str">
        <f t="shared" si="491"/>
        <v>1.可借圖書</v>
      </c>
      <c r="AG1198" t="str">
        <f t="shared" si="492"/>
        <v>在架</v>
      </c>
      <c r="AI1198" t="s">
        <v>65</v>
      </c>
      <c r="AK1198" t="str">
        <f t="shared" si="479"/>
        <v>一般(Normal)</v>
      </c>
      <c r="AO1198" t="s">
        <v>65</v>
      </c>
      <c r="AS1198" t="str">
        <f>("c1994.")</f>
        <v>c1994.</v>
      </c>
      <c r="AT1198" t="str">
        <f t="shared" si="480"/>
        <v>catc</v>
      </c>
    </row>
    <row r="1199" spans="2:46" x14ac:dyDescent="0.25">
      <c r="B1199" t="str">
        <f>("287735")</f>
        <v>287735</v>
      </c>
      <c r="C1199" t="str">
        <f>("W00003269")</f>
        <v>W00003269</v>
      </c>
      <c r="D1199" t="str">
        <f>("Practical C programming /")</f>
        <v>Practical C programming /</v>
      </c>
      <c r="E1199" t="str">
        <f>("Oualline, Steve.")</f>
        <v>Oualline, Steve.</v>
      </c>
      <c r="F1199" t="str">
        <f>("O'reilly,")</f>
        <v>O'reilly,</v>
      </c>
      <c r="G1199" t="str">
        <f>("3rd ed.")</f>
        <v>3rd ed.</v>
      </c>
      <c r="H1199" t="str">
        <f t="shared" si="486"/>
        <v>圖書 book</v>
      </c>
      <c r="I1199" t="str">
        <f>("QA76.73.C15 O93 1997")</f>
        <v>QA76.73.C15 O93 1997</v>
      </c>
      <c r="J1199" t="str">
        <f>("093717565X;1565923065")</f>
        <v>093717565X;1565923065</v>
      </c>
      <c r="K1199" t="str">
        <f t="shared" si="477"/>
        <v>0</v>
      </c>
      <c r="L1199" t="str">
        <f t="shared" si="485"/>
        <v>2001/10/10 00:00:00</v>
      </c>
      <c r="M1199" t="str">
        <f t="shared" si="487"/>
        <v>2018/08/11 13:31:48</v>
      </c>
      <c r="N1199" t="str">
        <f>("1997")</f>
        <v>1997</v>
      </c>
      <c r="O1199" t="str">
        <f t="shared" si="488"/>
        <v>4F西文書庫 4F Western Language Books</v>
      </c>
      <c r="P1199" t="s">
        <v>64</v>
      </c>
      <c r="W1199" t="str">
        <f t="shared" si="474"/>
        <v>美國國會圖書分類法</v>
      </c>
      <c r="Y1199" t="str">
        <f>("QA76.73.C15")</f>
        <v>QA76.73.C15</v>
      </c>
      <c r="Z1199" t="str">
        <f t="shared" si="489"/>
        <v>2018/08/11 13:31:48</v>
      </c>
      <c r="AA1199" t="str">
        <f t="shared" si="478"/>
        <v>catc</v>
      </c>
      <c r="AC1199" t="str">
        <f>("O93")</f>
        <v>O93</v>
      </c>
      <c r="AE1199" t="str">
        <f t="shared" si="490"/>
        <v>c.1</v>
      </c>
      <c r="AF1199" t="str">
        <f t="shared" si="491"/>
        <v>1.可借圖書</v>
      </c>
      <c r="AG1199" t="str">
        <f t="shared" si="492"/>
        <v>在架</v>
      </c>
      <c r="AI1199" t="s">
        <v>65</v>
      </c>
      <c r="AK1199" t="str">
        <f t="shared" si="479"/>
        <v>一般(Normal)</v>
      </c>
      <c r="AO1199" t="s">
        <v>65</v>
      </c>
      <c r="AS1199" t="str">
        <f>("c1997.")</f>
        <v>c1997.</v>
      </c>
      <c r="AT1199" t="str">
        <f t="shared" si="480"/>
        <v>catc</v>
      </c>
    </row>
    <row r="1200" spans="2:46" x14ac:dyDescent="0.25">
      <c r="B1200" t="str">
        <f>("287737")</f>
        <v>287737</v>
      </c>
      <c r="C1200" t="str">
        <f>("W00003270")</f>
        <v>W00003270</v>
      </c>
      <c r="D1200" t="str">
        <f>("Strategic management in information technology /")</f>
        <v>Strategic management in information technology /</v>
      </c>
      <c r="E1200" t="str">
        <f>("Yoffie, David B.")</f>
        <v>Yoffie, David B.</v>
      </c>
      <c r="F1200" t="str">
        <f>("Prentice Hall,")</f>
        <v>Prentice Hall,</v>
      </c>
      <c r="H1200" t="str">
        <f t="shared" si="486"/>
        <v>圖書 book</v>
      </c>
      <c r="I1200" t="str">
        <f>("HD9696.C62 Y54 1994")</f>
        <v>HD9696.C62 Y54 1994</v>
      </c>
      <c r="J1200" t="str">
        <f>("0130985597;0131041002")</f>
        <v>0130985597;0131041002</v>
      </c>
      <c r="K1200" t="str">
        <f t="shared" si="477"/>
        <v>0</v>
      </c>
      <c r="L1200" t="str">
        <f t="shared" si="485"/>
        <v>2001/10/10 00:00:00</v>
      </c>
      <c r="M1200" t="str">
        <f>("2018/08/11 13:31:49")</f>
        <v>2018/08/11 13:31:49</v>
      </c>
      <c r="N1200" t="str">
        <f>("1994")</f>
        <v>1994</v>
      </c>
      <c r="O1200" t="str">
        <f t="shared" si="488"/>
        <v>4F西文書庫 4F Western Language Books</v>
      </c>
      <c r="P1200" t="s">
        <v>64</v>
      </c>
      <c r="W1200" t="str">
        <f t="shared" si="474"/>
        <v>美國國會圖書分類法</v>
      </c>
      <c r="Y1200" t="str">
        <f>("HD9696.C62")</f>
        <v>HD9696.C62</v>
      </c>
      <c r="Z1200" t="str">
        <f>("2018/08/11 13:31:49")</f>
        <v>2018/08/11 13:31:49</v>
      </c>
      <c r="AA1200" t="str">
        <f t="shared" si="478"/>
        <v>catc</v>
      </c>
      <c r="AC1200" t="str">
        <f>("Y54")</f>
        <v>Y54</v>
      </c>
      <c r="AE1200" t="str">
        <f t="shared" si="490"/>
        <v>c.1</v>
      </c>
      <c r="AF1200" t="str">
        <f t="shared" si="491"/>
        <v>1.可借圖書</v>
      </c>
      <c r="AG1200" t="str">
        <f t="shared" si="492"/>
        <v>在架</v>
      </c>
      <c r="AI1200" t="s">
        <v>65</v>
      </c>
      <c r="AK1200" t="str">
        <f t="shared" si="479"/>
        <v>一般(Normal)</v>
      </c>
      <c r="AO1200" t="s">
        <v>65</v>
      </c>
      <c r="AS1200" t="str">
        <f>("c1994.")</f>
        <v>c1994.</v>
      </c>
      <c r="AT1200" t="str">
        <f t="shared" si="480"/>
        <v>catc</v>
      </c>
    </row>
    <row r="1201" spans="2:46" x14ac:dyDescent="0.25">
      <c r="B1201" t="str">
        <f>("287717")</f>
        <v>287717</v>
      </c>
      <c r="C1201" t="str">
        <f>("W00003271")</f>
        <v>W00003271</v>
      </c>
      <c r="D1201" t="str">
        <f>("Teach yourself ActiveX programming in 21 days /")</f>
        <v>Teach yourself ActiveX programming in 21 days /</v>
      </c>
      <c r="E1201" t="str">
        <f>("Kaufman, Sanders.")</f>
        <v>Kaufman, Sanders.</v>
      </c>
      <c r="F1201" t="str">
        <f>("Sams.net,")</f>
        <v>Sams.net,</v>
      </c>
      <c r="G1201" t="str">
        <f>("1st ed.")</f>
        <v>1st ed.</v>
      </c>
      <c r="H1201" t="str">
        <f t="shared" si="486"/>
        <v>圖書 book</v>
      </c>
      <c r="I1201" t="str">
        <f>("QA76.625 K21 1996")</f>
        <v>QA76.625 K21 1996</v>
      </c>
      <c r="J1201" t="str">
        <f>("1575211637")</f>
        <v>1575211637</v>
      </c>
      <c r="K1201" t="str">
        <f t="shared" si="477"/>
        <v>0</v>
      </c>
      <c r="L1201" t="str">
        <f t="shared" si="485"/>
        <v>2001/10/10 00:00:00</v>
      </c>
      <c r="M1201" t="str">
        <f>("2018/08/11 13:31:49")</f>
        <v>2018/08/11 13:31:49</v>
      </c>
      <c r="N1201" t="str">
        <f>("1996")</f>
        <v>1996</v>
      </c>
      <c r="O1201" t="str">
        <f t="shared" si="488"/>
        <v>4F西文書庫 4F Western Language Books</v>
      </c>
      <c r="P1201" t="s">
        <v>64</v>
      </c>
      <c r="W1201" t="str">
        <f t="shared" si="474"/>
        <v>美國國會圖書分類法</v>
      </c>
      <c r="Y1201" t="str">
        <f>("QA76.625")</f>
        <v>QA76.625</v>
      </c>
      <c r="Z1201" t="str">
        <f>("2018/08/11 13:31:49")</f>
        <v>2018/08/11 13:31:49</v>
      </c>
      <c r="AA1201" t="str">
        <f t="shared" si="478"/>
        <v>catc</v>
      </c>
      <c r="AC1201" t="str">
        <f>("K21")</f>
        <v>K21</v>
      </c>
      <c r="AE1201" t="str">
        <f t="shared" si="490"/>
        <v>c.1</v>
      </c>
      <c r="AF1201" t="str">
        <f t="shared" si="491"/>
        <v>1.可借圖書</v>
      </c>
      <c r="AG1201" t="str">
        <f t="shared" si="492"/>
        <v>在架</v>
      </c>
      <c r="AI1201" t="s">
        <v>65</v>
      </c>
      <c r="AK1201" t="str">
        <f t="shared" si="479"/>
        <v>一般(Normal)</v>
      </c>
      <c r="AO1201" t="s">
        <v>65</v>
      </c>
      <c r="AS1201" t="str">
        <f>("c1996.")</f>
        <v>c1996.</v>
      </c>
      <c r="AT1201" t="str">
        <f t="shared" si="480"/>
        <v>catc</v>
      </c>
    </row>
    <row r="1202" spans="2:46" x14ac:dyDescent="0.25">
      <c r="B1202" t="str">
        <f>("287718")</f>
        <v>287718</v>
      </c>
      <c r="C1202" t="str">
        <f>("W00003272")</f>
        <v>W00003272</v>
      </c>
      <c r="D1202" t="str">
        <f>("The history of computers /")</f>
        <v>The history of computers /</v>
      </c>
      <c r="E1202" t="str">
        <f>("Freed1995")</f>
        <v>Freed1995</v>
      </c>
      <c r="F1202" t="str">
        <f>("Ziff-Davis Press,")</f>
        <v>Ziff-Davis Press,</v>
      </c>
      <c r="H1202" t="str">
        <f t="shared" si="486"/>
        <v>圖書 book</v>
      </c>
      <c r="I1202" t="str">
        <f>("QA76.17 F74 1995")</f>
        <v>QA76.17 F74 1995</v>
      </c>
      <c r="J1202" t="str">
        <f>("1562762753")</f>
        <v>1562762753</v>
      </c>
      <c r="K1202" t="str">
        <f t="shared" si="477"/>
        <v>0</v>
      </c>
      <c r="L1202" t="str">
        <f t="shared" si="485"/>
        <v>2001/10/10 00:00:00</v>
      </c>
      <c r="M1202" t="str">
        <f>("2018/08/11 13:31:49")</f>
        <v>2018/08/11 13:31:49</v>
      </c>
      <c r="N1202" t="str">
        <f>("1995")</f>
        <v>1995</v>
      </c>
      <c r="O1202" t="str">
        <f t="shared" si="488"/>
        <v>4F西文書庫 4F Western Language Books</v>
      </c>
      <c r="P1202" t="s">
        <v>64</v>
      </c>
      <c r="S1202" t="str">
        <f>("ix, 153 p. :")</f>
        <v>ix, 153 p. :</v>
      </c>
      <c r="T1202" t="str">
        <f>("col. ill. ;")</f>
        <v>col. ill. ;</v>
      </c>
      <c r="U1202" t="str">
        <f>("26 cm.")</f>
        <v>26 cm.</v>
      </c>
      <c r="W1202" t="str">
        <f t="shared" si="474"/>
        <v>美國國會圖書分類法</v>
      </c>
      <c r="Y1202" t="str">
        <f>("QA76.17")</f>
        <v>QA76.17</v>
      </c>
      <c r="Z1202" t="str">
        <f>("2018/08/11 13:31:49")</f>
        <v>2018/08/11 13:31:49</v>
      </c>
      <c r="AA1202" t="str">
        <f t="shared" si="478"/>
        <v>catc</v>
      </c>
      <c r="AC1202" t="str">
        <f>("F74")</f>
        <v>F74</v>
      </c>
      <c r="AE1202" t="str">
        <f t="shared" si="490"/>
        <v>c.1</v>
      </c>
      <c r="AF1202" t="str">
        <f t="shared" si="491"/>
        <v>1.可借圖書</v>
      </c>
      <c r="AG1202" t="str">
        <f t="shared" si="492"/>
        <v>在架</v>
      </c>
      <c r="AI1202" t="s">
        <v>65</v>
      </c>
      <c r="AK1202" t="str">
        <f t="shared" si="479"/>
        <v>一般(Normal)</v>
      </c>
      <c r="AO1202" t="s">
        <v>65</v>
      </c>
      <c r="AS1202" t="str">
        <f>("c1995.")</f>
        <v>c1995.</v>
      </c>
      <c r="AT1202" t="str">
        <f t="shared" si="480"/>
        <v>catc</v>
      </c>
    </row>
    <row r="1203" spans="2:46" x14ac:dyDescent="0.25">
      <c r="B1203" t="str">
        <f>("287719")</f>
        <v>287719</v>
      </c>
      <c r="C1203" t="str">
        <f>("W00003273")</f>
        <v>W00003273</v>
      </c>
      <c r="D1203" t="str">
        <f>("The Perl 5 programmer's reference :Windows 95/NT, Macintosh, OS/2 &amp; UNIX /")</f>
        <v>The Perl 5 programmer's reference :Windows 95/NT, Macintosh, OS/2 &amp; UNIX /</v>
      </c>
      <c r="E1203" t="str">
        <f>("Wyke, R. Allen.")</f>
        <v>Wyke, R. Allen.</v>
      </c>
      <c r="F1203" t="str">
        <f>("Ventana Communications Group,")</f>
        <v>Ventana Communications Group,</v>
      </c>
      <c r="H1203" t="str">
        <f t="shared" si="486"/>
        <v>圖書 book</v>
      </c>
      <c r="I1203" t="str">
        <f>("QA76.73.P22 W981 1997")</f>
        <v>QA76.73.P22 W981 1997</v>
      </c>
      <c r="J1203" t="str">
        <f>("1566047501")</f>
        <v>1566047501</v>
      </c>
      <c r="K1203" t="str">
        <f t="shared" si="477"/>
        <v>0</v>
      </c>
      <c r="L1203" t="str">
        <f t="shared" si="485"/>
        <v>2001/10/10 00:00:00</v>
      </c>
      <c r="M1203" t="str">
        <f>("2018/08/11 13:31:49")</f>
        <v>2018/08/11 13:31:49</v>
      </c>
      <c r="N1203" t="str">
        <f>("1997")</f>
        <v>1997</v>
      </c>
      <c r="O1203" t="str">
        <f t="shared" si="488"/>
        <v>4F西文書庫 4F Western Language Books</v>
      </c>
      <c r="P1203" t="s">
        <v>64</v>
      </c>
      <c r="W1203" t="str">
        <f t="shared" si="474"/>
        <v>美國國會圖書分類法</v>
      </c>
      <c r="Y1203" t="str">
        <f>("QA76.73.P22")</f>
        <v>QA76.73.P22</v>
      </c>
      <c r="Z1203" t="str">
        <f>("2018/08/11 13:31:49")</f>
        <v>2018/08/11 13:31:49</v>
      </c>
      <c r="AA1203" t="str">
        <f t="shared" si="478"/>
        <v>catc</v>
      </c>
      <c r="AC1203" t="str">
        <f>("W981")</f>
        <v>W981</v>
      </c>
      <c r="AE1203" t="str">
        <f t="shared" si="490"/>
        <v>c.1</v>
      </c>
      <c r="AF1203" t="str">
        <f t="shared" si="491"/>
        <v>1.可借圖書</v>
      </c>
      <c r="AG1203" t="str">
        <f t="shared" si="492"/>
        <v>在架</v>
      </c>
      <c r="AI1203" t="s">
        <v>65</v>
      </c>
      <c r="AK1203" t="str">
        <f t="shared" si="479"/>
        <v>一般(Normal)</v>
      </c>
      <c r="AO1203" t="s">
        <v>65</v>
      </c>
      <c r="AS1203" t="str">
        <f>("c1997.")</f>
        <v>c1997.</v>
      </c>
      <c r="AT1203" t="str">
        <f t="shared" si="480"/>
        <v>catc</v>
      </c>
    </row>
    <row r="1204" spans="2:46" x14ac:dyDescent="0.25">
      <c r="B1204" t="str">
        <f>("287720")</f>
        <v>287720</v>
      </c>
      <c r="C1204" t="str">
        <f>("W00003274")</f>
        <v>W00003274</v>
      </c>
      <c r="D1204" t="str">
        <f>("Visual J++ unleashed /")</f>
        <v>Visual J++ unleashed /</v>
      </c>
      <c r="E1204" t="str">
        <f>("Morgan, Bryan.")</f>
        <v>Morgan, Bryan.</v>
      </c>
      <c r="F1204" t="str">
        <f>("Sams.net,")</f>
        <v>Sams.net,</v>
      </c>
      <c r="H1204" t="str">
        <f t="shared" si="486"/>
        <v>圖書 book</v>
      </c>
      <c r="I1204" t="str">
        <f>("QA76.73.J38 M847 1997")</f>
        <v>QA76.73.J38 M847 1997</v>
      </c>
      <c r="J1204" t="str">
        <f>("1575211610")</f>
        <v>1575211610</v>
      </c>
      <c r="K1204" t="str">
        <f t="shared" si="477"/>
        <v>0</v>
      </c>
      <c r="L1204" t="str">
        <f t="shared" si="485"/>
        <v>2001/10/10 00:00:00</v>
      </c>
      <c r="M1204" t="str">
        <f>("2018/08/11 13:31:49")</f>
        <v>2018/08/11 13:31:49</v>
      </c>
      <c r="N1204" t="str">
        <f>("1997")</f>
        <v>1997</v>
      </c>
      <c r="O1204" t="str">
        <f t="shared" si="488"/>
        <v>4F西文書庫 4F Western Language Books</v>
      </c>
      <c r="P1204" t="s">
        <v>64</v>
      </c>
      <c r="W1204" t="str">
        <f t="shared" si="474"/>
        <v>美國國會圖書分類法</v>
      </c>
      <c r="Y1204" t="str">
        <f>("QA76.73.J38")</f>
        <v>QA76.73.J38</v>
      </c>
      <c r="Z1204" t="str">
        <f>("2018/08/11 13:31:49")</f>
        <v>2018/08/11 13:31:49</v>
      </c>
      <c r="AA1204" t="str">
        <f t="shared" si="478"/>
        <v>catc</v>
      </c>
      <c r="AC1204" t="str">
        <f>("M847")</f>
        <v>M847</v>
      </c>
      <c r="AE1204" t="str">
        <f t="shared" si="490"/>
        <v>c.1</v>
      </c>
      <c r="AF1204" t="str">
        <f t="shared" si="491"/>
        <v>1.可借圖書</v>
      </c>
      <c r="AG1204" t="str">
        <f t="shared" si="492"/>
        <v>在架</v>
      </c>
      <c r="AI1204" t="s">
        <v>65</v>
      </c>
      <c r="AK1204" t="str">
        <f t="shared" si="479"/>
        <v>一般(Normal)</v>
      </c>
      <c r="AO1204" t="s">
        <v>65</v>
      </c>
      <c r="AS1204" t="str">
        <f>("c1997.")</f>
        <v>c1997.</v>
      </c>
      <c r="AT1204" t="str">
        <f t="shared" si="480"/>
        <v>catc</v>
      </c>
    </row>
  </sheetData>
  <autoFilter ref="A11:AW11"/>
  <phoneticPr fontId="18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西文1193</vt:lpstr>
      <vt:lpstr>_usr_local_claridy_inspire_cata</vt:lpstr>
      <vt:lpstr>西文1193!Print_Titles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LIB3F</dc:creator>
  <cp:lastModifiedBy>LIB3F</cp:lastModifiedBy>
  <cp:lastPrinted>2020-06-19T07:46:27Z</cp:lastPrinted>
  <dcterms:created xsi:type="dcterms:W3CDTF">2020-06-18T12:56:38Z</dcterms:created>
  <dcterms:modified xsi:type="dcterms:W3CDTF">2020-07-01T05:19:33Z</dcterms:modified>
</cp:coreProperties>
</file>